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285" yWindow="900" windowWidth="24915" windowHeight="12720"/>
  </bookViews>
  <sheets>
    <sheet name="transfer_model" sheetId="1" r:id="rId1"/>
    <sheet name="multiple_transfer_model" sheetId="2" r:id="rId2"/>
    <sheet name="slicer_model" sheetId="4" r:id="rId3"/>
    <sheet name="RiskSerializationData" sheetId="6" state="hidden" r:id="rId4"/>
    <sheet name="cleaning_and sanitizing" sheetId="3" r:id="rId5"/>
  </sheets>
  <definedNames>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a">slicer_model!$C$11</definedName>
    <definedName name="Pal_Workbook_GUID" hidden="1">"SNULGHMZWWF4NFJSP5YKUZEB"</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45621"/>
</workbook>
</file>

<file path=xl/calcChain.xml><?xml version="1.0" encoding="utf-8"?>
<calcChain xmlns="http://schemas.openxmlformats.org/spreadsheetml/2006/main">
  <c r="C41" i="4" l="1"/>
  <c r="D18" i="4"/>
  <c r="E18" i="4"/>
  <c r="F18" i="4"/>
  <c r="G18" i="4"/>
  <c r="H18" i="4"/>
  <c r="I18" i="4"/>
  <c r="J18" i="4" s="1"/>
  <c r="K18" i="4" s="1"/>
  <c r="L18" i="4" s="1"/>
  <c r="C19" i="4"/>
  <c r="D17" i="4"/>
  <c r="D19" i="4" s="1"/>
  <c r="AN6" i="6"/>
  <c r="AN5" i="6"/>
  <c r="AN4" i="6"/>
  <c r="AN3" i="6"/>
  <c r="M24" i="2"/>
  <c r="I24" i="2"/>
  <c r="L25" i="2"/>
  <c r="L23" i="2"/>
  <c r="E11" i="3"/>
  <c r="K23" i="2"/>
  <c r="K24" i="2"/>
  <c r="J25" i="2"/>
  <c r="L24" i="2"/>
  <c r="M25" i="2"/>
  <c r="J26" i="2"/>
  <c r="K27" i="2"/>
  <c r="I25" i="2"/>
  <c r="J27" i="2"/>
  <c r="M23" i="2"/>
  <c r="L27" i="2"/>
  <c r="K26" i="2"/>
  <c r="J23" i="2"/>
  <c r="E11" i="1"/>
  <c r="M26" i="2"/>
  <c r="C10" i="4"/>
  <c r="C11" i="4" s="1"/>
  <c r="I27" i="2"/>
  <c r="I26" i="2"/>
  <c r="E12" i="1"/>
  <c r="C20" i="4"/>
  <c r="C36" i="4" s="1"/>
  <c r="D41" i="4" l="1"/>
  <c r="E17" i="4"/>
  <c r="E41" i="4" s="1"/>
  <c r="J24" i="2"/>
  <c r="F11" i="1"/>
  <c r="F12" i="1"/>
  <c r="AG3" i="6"/>
  <c r="A3" i="6"/>
  <c r="K25" i="2"/>
  <c r="I23" i="2"/>
  <c r="L26" i="2"/>
  <c r="D16" i="4"/>
  <c r="C21" i="4"/>
  <c r="F11" i="3"/>
  <c r="C13" i="3" s="1"/>
  <c r="M27" i="2"/>
  <c r="E26" i="2"/>
  <c r="D20" i="4"/>
  <c r="C24" i="2"/>
  <c r="D25" i="2"/>
  <c r="F15" i="1"/>
  <c r="F27" i="2"/>
  <c r="C15" i="3"/>
  <c r="B23" i="2"/>
  <c r="C28" i="4"/>
  <c r="C24" i="4"/>
  <c r="F14" i="1"/>
  <c r="E19" i="4" l="1"/>
  <c r="F17" i="4"/>
  <c r="F41" i="4" s="1"/>
  <c r="C25" i="4"/>
  <c r="E16" i="4"/>
  <c r="E20" i="4"/>
  <c r="C29" i="4"/>
  <c r="F23" i="2"/>
  <c r="E23" i="2"/>
  <c r="D29" i="2"/>
  <c r="D36" i="4"/>
  <c r="F18" i="1"/>
  <c r="C23" i="2"/>
  <c r="D28" i="4"/>
  <c r="C33" i="4"/>
  <c r="B24" i="2"/>
  <c r="D23" i="2"/>
  <c r="C18" i="3"/>
  <c r="D14" i="4" l="1"/>
  <c r="F19" i="4"/>
  <c r="G17" i="4" s="1"/>
  <c r="G41" i="4" s="1"/>
  <c r="C30" i="4"/>
  <c r="AG6" i="6"/>
  <c r="A6" i="6"/>
  <c r="F18" i="3"/>
  <c r="F16" i="4"/>
  <c r="D24" i="2"/>
  <c r="F20" i="4"/>
  <c r="E36" i="4"/>
  <c r="D29" i="4"/>
  <c r="D30" i="2"/>
  <c r="C35" i="4"/>
  <c r="B25" i="2"/>
  <c r="F19" i="1"/>
  <c r="D24" i="4"/>
  <c r="E24" i="2"/>
  <c r="F24" i="2"/>
  <c r="C25" i="2"/>
  <c r="C34" i="4"/>
  <c r="D15" i="4" l="1"/>
  <c r="D21" i="4" s="1"/>
  <c r="D25" i="4" s="1"/>
  <c r="G19" i="4"/>
  <c r="H17" i="4" s="1"/>
  <c r="H41" i="4" s="1"/>
  <c r="C39" i="4"/>
  <c r="D30" i="4"/>
  <c r="A4" i="6"/>
  <c r="AG4" i="6"/>
  <c r="I18" i="1"/>
  <c r="G16" i="4"/>
  <c r="F36" i="4"/>
  <c r="C26" i="2"/>
  <c r="D33" i="4"/>
  <c r="G20" i="4"/>
  <c r="E25" i="2"/>
  <c r="F25" i="2"/>
  <c r="D35" i="4"/>
  <c r="E28" i="4"/>
  <c r="E24" i="4"/>
  <c r="D31" i="2"/>
  <c r="D26" i="2"/>
  <c r="B26" i="2"/>
  <c r="D34" i="4"/>
  <c r="E15" i="4" l="1"/>
  <c r="E21" i="4" s="1"/>
  <c r="E25" i="4" s="1"/>
  <c r="E14" i="4"/>
  <c r="H19" i="4"/>
  <c r="I17" i="4" s="1"/>
  <c r="I41" i="4" s="1"/>
  <c r="F26" i="2"/>
  <c r="C27" i="2"/>
  <c r="D39" i="4"/>
  <c r="E27" i="2"/>
  <c r="D27" i="2"/>
  <c r="B27" i="2"/>
  <c r="H16" i="4"/>
  <c r="F28" i="4"/>
  <c r="E29" i="4"/>
  <c r="G36" i="4"/>
  <c r="D32" i="2"/>
  <c r="E33" i="4"/>
  <c r="H20" i="4"/>
  <c r="D33" i="2"/>
  <c r="F14" i="4" l="1"/>
  <c r="I19" i="4"/>
  <c r="J17" i="4"/>
  <c r="J41" i="4" s="1"/>
  <c r="E30" i="4"/>
  <c r="H31" i="2"/>
  <c r="AG5" i="6"/>
  <c r="A5" i="6"/>
  <c r="I16" i="4"/>
  <c r="E35" i="4"/>
  <c r="F29" i="4"/>
  <c r="H36" i="4"/>
  <c r="I20" i="4"/>
  <c r="F24" i="4"/>
  <c r="I36" i="4"/>
  <c r="E34" i="4"/>
  <c r="F15" i="4" l="1"/>
  <c r="F21" i="4" s="1"/>
  <c r="F25" i="4" s="1"/>
  <c r="J19" i="4"/>
  <c r="K17" i="4"/>
  <c r="K41" i="4" s="1"/>
  <c r="F30" i="4"/>
  <c r="E39" i="4"/>
  <c r="J16" i="4"/>
  <c r="F35" i="4"/>
  <c r="J20" i="4"/>
  <c r="G28" i="4"/>
  <c r="F33" i="4"/>
  <c r="G24" i="4"/>
  <c r="F34" i="4"/>
  <c r="G15" i="4" l="1"/>
  <c r="G21" i="4" s="1"/>
  <c r="G14" i="4"/>
  <c r="K19" i="4"/>
  <c r="L17" i="4"/>
  <c r="L41" i="4" s="1"/>
  <c r="F39" i="4"/>
  <c r="K16" i="4"/>
  <c r="G25" i="4"/>
  <c r="G33" i="4"/>
  <c r="H28" i="4"/>
  <c r="K20" i="4"/>
  <c r="J36" i="4"/>
  <c r="G29" i="4"/>
  <c r="G35" i="4" s="1"/>
  <c r="H14" i="4" l="1"/>
  <c r="L19" i="4"/>
  <c r="H15" i="4"/>
  <c r="H21" i="4" s="1"/>
  <c r="G30" i="4"/>
  <c r="L16" i="4"/>
  <c r="L20" i="4"/>
  <c r="H24" i="4"/>
  <c r="G34" i="4"/>
  <c r="K36" i="4"/>
  <c r="H29" i="4"/>
  <c r="H30" i="4" l="1"/>
  <c r="G39" i="4"/>
  <c r="H25" i="4"/>
  <c r="I28" i="4"/>
  <c r="H34" i="4"/>
  <c r="H35" i="4"/>
  <c r="H33" i="4"/>
  <c r="L36" i="4"/>
  <c r="I24" i="4"/>
  <c r="I15" i="4" l="1"/>
  <c r="I21" i="4" s="1"/>
  <c r="I25" i="4" s="1"/>
  <c r="I14" i="4"/>
  <c r="H39" i="4"/>
  <c r="I33" i="4"/>
  <c r="J28" i="4"/>
  <c r="I29" i="4"/>
  <c r="I35" i="4"/>
  <c r="J14" i="4" l="1"/>
  <c r="J15" i="4"/>
  <c r="J21" i="4" s="1"/>
  <c r="I30" i="4"/>
  <c r="J29" i="4"/>
  <c r="J35" i="4"/>
  <c r="J24" i="4"/>
  <c r="I34" i="4"/>
  <c r="K15" i="4" l="1"/>
  <c r="K21" i="4" s="1"/>
  <c r="J30" i="4"/>
  <c r="I39" i="4"/>
  <c r="J25" i="4"/>
  <c r="J33" i="4"/>
  <c r="K24" i="4"/>
  <c r="J34" i="4"/>
  <c r="K28" i="4"/>
  <c r="K14" i="4" l="1"/>
  <c r="J39" i="4"/>
  <c r="K25" i="4"/>
  <c r="K29" i="4"/>
  <c r="L28" i="4"/>
  <c r="K35" i="4"/>
  <c r="K33" i="4"/>
  <c r="L14" i="4" l="1"/>
  <c r="L15" i="4"/>
  <c r="L21" i="4" s="1"/>
  <c r="K30" i="4"/>
  <c r="L24" i="4"/>
  <c r="K34" i="4"/>
  <c r="L29" i="4"/>
  <c r="L30" i="4" l="1"/>
  <c r="K39" i="4"/>
  <c r="L25" i="4"/>
  <c r="L35" i="4"/>
  <c r="L34" i="4"/>
  <c r="L33" i="4"/>
  <c r="L39" i="4" l="1"/>
</calcChain>
</file>

<file path=xl/sharedStrings.xml><?xml version="1.0" encoding="utf-8"?>
<sst xmlns="http://schemas.openxmlformats.org/spreadsheetml/2006/main" count="204" uniqueCount="136">
  <si>
    <t>initial bacteria on object i</t>
  </si>
  <si>
    <t>initial bacteria on object j</t>
  </si>
  <si>
    <t>Ni</t>
  </si>
  <si>
    <t>Nj</t>
  </si>
  <si>
    <t>Tij</t>
  </si>
  <si>
    <t>Tji</t>
  </si>
  <si>
    <t>Final number of bacteria on object i</t>
  </si>
  <si>
    <t>Fi</t>
  </si>
  <si>
    <t>Final number of bacteria on object j</t>
  </si>
  <si>
    <t>Fj</t>
  </si>
  <si>
    <t>Number of bacteria not transferred from object i</t>
  </si>
  <si>
    <t>Xii</t>
  </si>
  <si>
    <t>Number of bacteria transferred to object I from object j</t>
  </si>
  <si>
    <t>Transfer to j from i</t>
  </si>
  <si>
    <t>Xji</t>
  </si>
  <si>
    <t>initial bacteria on object k</t>
  </si>
  <si>
    <t>Nk</t>
  </si>
  <si>
    <t>Final number of bacteria on object k</t>
  </si>
  <si>
    <t>Fk</t>
  </si>
  <si>
    <t>from i</t>
  </si>
  <si>
    <t>from j</t>
  </si>
  <si>
    <t>from k</t>
  </si>
  <si>
    <t>from l</t>
  </si>
  <si>
    <t>from m</t>
  </si>
  <si>
    <t>to i</t>
  </si>
  <si>
    <t>to j</t>
  </si>
  <si>
    <t>to k</t>
  </si>
  <si>
    <t>to l</t>
  </si>
  <si>
    <t>to m</t>
  </si>
  <si>
    <t>Fl</t>
  </si>
  <si>
    <t>Fm</t>
  </si>
  <si>
    <t>Final number of bacteria on object l</t>
  </si>
  <si>
    <t>Final number of bacteria on object m</t>
  </si>
  <si>
    <t>initial bacteria on object l</t>
  </si>
  <si>
    <t>initial bacteria on object m</t>
  </si>
  <si>
    <t>input transfer coefficient mean</t>
  </si>
  <si>
    <t>number of transferred bacteria</t>
  </si>
  <si>
    <t>mean</t>
  </si>
  <si>
    <t>user inputs</t>
  </si>
  <si>
    <t>Please enter simulation values in dark blue fields</t>
  </si>
  <si>
    <t>NOTE:</t>
  </si>
  <si>
    <t>Nl</t>
  </si>
  <si>
    <t>Nm</t>
  </si>
  <si>
    <t>Model results are provided in yellow boxes</t>
  </si>
  <si>
    <t>Cleaning coefficient for object i</t>
  </si>
  <si>
    <t>Cik</t>
  </si>
  <si>
    <t>Fik</t>
  </si>
  <si>
    <t>Final number of bacteria on object I after sanitizing treatment k</t>
  </si>
  <si>
    <t>RiK</t>
  </si>
  <si>
    <t>Number of bacteria removed from object I through sanitizing treatment k</t>
  </si>
  <si>
    <t>zik</t>
  </si>
  <si>
    <t>Number of bacteria on head of cub</t>
  </si>
  <si>
    <t>HC1</t>
  </si>
  <si>
    <t>Number of bacteria on chub available for transfer</t>
  </si>
  <si>
    <t>Io</t>
  </si>
  <si>
    <t>C0</t>
  </si>
  <si>
    <t>CC0</t>
  </si>
  <si>
    <t>Number of bacteria in chub core</t>
  </si>
  <si>
    <t>Mass of chub</t>
  </si>
  <si>
    <t>Mo</t>
  </si>
  <si>
    <t>Mass of slice</t>
  </si>
  <si>
    <t>mo</t>
  </si>
  <si>
    <t>Number of bacteria in the process</t>
  </si>
  <si>
    <t>Number of bacteria on the slicer blade</t>
  </si>
  <si>
    <t xml:space="preserve">Total number of bacteria available for transfer </t>
  </si>
  <si>
    <t>So</t>
  </si>
  <si>
    <t>Transfer from slice</t>
  </si>
  <si>
    <t>Number of bacteria transferred from slice to slicer</t>
  </si>
  <si>
    <t>St</t>
  </si>
  <si>
    <t>Transfer coefficient</t>
  </si>
  <si>
    <t>Number of bacteria remaining on slice</t>
  </si>
  <si>
    <t>Cr</t>
  </si>
  <si>
    <t>Transfer from slicer</t>
  </si>
  <si>
    <t>Number of bacteria not transferred from slicer blade to slice</t>
  </si>
  <si>
    <t>Sr</t>
  </si>
  <si>
    <t>Number of bacteria transferred from slicer to chub head</t>
  </si>
  <si>
    <t>Number of bacteria transferred from slicer to slice</t>
  </si>
  <si>
    <t>Ss</t>
  </si>
  <si>
    <t>Number of bacteria at the end of the process</t>
  </si>
  <si>
    <t>S1</t>
  </si>
  <si>
    <t>Final number of bacteria on the slice</t>
  </si>
  <si>
    <t>C1</t>
  </si>
  <si>
    <t>Final number of bacteria on slicer blade</t>
  </si>
  <si>
    <t>Final number of bacteria on chub head</t>
  </si>
  <si>
    <t>Final number of bacteria in chub core</t>
  </si>
  <si>
    <t>CC1</t>
  </si>
  <si>
    <t>HC0</t>
  </si>
  <si>
    <t>slice 1</t>
  </si>
  <si>
    <t>slice 2</t>
  </si>
  <si>
    <t>slice 3</t>
  </si>
  <si>
    <t>slice 4</t>
  </si>
  <si>
    <t>slice 5</t>
  </si>
  <si>
    <t>slice 6</t>
  </si>
  <si>
    <t>slice 7</t>
  </si>
  <si>
    <t>slice 8</t>
  </si>
  <si>
    <t>slice 9</t>
  </si>
  <si>
    <t>slice 10</t>
  </si>
  <si>
    <t>GF1_rK0qDwEACACZAAwjACYAPgBFAE4ATwBbAGcAdwApAJMALQD//wAAAAABAQEAAQQAAAAAB0dlbmVyYWwAAAABAWEBAAEBBQABAAEDAQEA/wEBAQEBAAEBAQACAAEBAQEBAAEBAQACAAFrAAIIAAFhAAAvAQIAAgB/AIkAAQECAZqZmZmZmak/AABmZmZmZmbuPwAABQABAQEA</t>
  </si>
  <si>
    <t>&gt;75%</t>
  </si>
  <si>
    <t>&lt;25%</t>
  </si>
  <si>
    <t>&gt;90%</t>
  </si>
  <si>
    <t>GF1_rK0qDwEACADGAAwjACYAPwBcAGUAZgByAH4ApAApAMAALQD//wAAAAABAQEAAQQAAAAACDAuMDBFKzAwAAAAARdGaiAvIHNpbXVsYXRpb24gb3V0cHV0cwEAAQEFAAEAAQMBAQD/AQEBAQEAAQEBAAIAAQEBAQEAAQEBAAIAAYIAAh4AF0ZqIC8gc2ltdWxhdGlvbiBvdXRwdXRzAAAvAQIAAgCsALYAAQECAZqZmZmZmak/AABmZmZmZmbuPwAABQABAQEA</t>
  </si>
  <si>
    <t>GF1_rK0qDwEACACtAAwjACYAPgBPAFgAWQBlAHEAiwApAKcALQD//wAAAAABAQEAAQQAAAAAB0dlbmVyYWwAAAABC0ZtIC8gZnJvbSBrAQABAQUAAQABAwEBAP8BAQEBAQABAQEAAgABAQEBAQABAQEAAgABdQACEgALRm0gLyBmcm9tIGsAAC8BAgACAJMAnQABAQIBmpmZmZmZqT8AAGZmZmZmZu4/AAAFAAEBAQA=</t>
  </si>
  <si>
    <t>GF1_rK0qDwEACACsAAwjACYAPwBPAFgAWQBlAHEAigApAKYALQD//wAAAAABAQEAAQQAAAAACDAuMDBFKzAwAAAAAQpGaWsgLyBtZWFuAQABAQUAAQABAwEBAP8BAQEBAQABAQEAAgABAQEBAQABAQEAAgABdQACEQAKRmlrIC8gbWVhbgAALwECAAIAkgCcAAEBAgGamZmZmZmpPwAAZmZmZmZm7j8AAAUAAQEBAA==</t>
  </si>
  <si>
    <r>
      <t xml:space="preserve">Supplemental material from: K. Hoelzer, R. Pouillot, D. Gallagher, M. B. Silverman, J. Kause,  and S. Dennis (In Press). </t>
    </r>
    <r>
      <rPr>
        <b/>
        <sz val="12"/>
        <color theme="1"/>
        <rFont val="Calibri"/>
        <family val="2"/>
        <scheme val="minor"/>
      </rPr>
      <t xml:space="preserve">Estimation of </t>
    </r>
    <r>
      <rPr>
        <b/>
        <i/>
        <sz val="12"/>
        <color theme="1"/>
        <rFont val="Calibri"/>
        <family val="2"/>
        <scheme val="minor"/>
      </rPr>
      <t>Listeria monocytogenes</t>
    </r>
    <r>
      <rPr>
        <b/>
        <sz val="12"/>
        <color theme="1"/>
        <rFont val="Calibri"/>
        <family val="2"/>
        <scheme val="minor"/>
      </rPr>
      <t xml:space="preserve"> transfer coefficients and efficacy of bacterial removal through cleaning and sanitation. </t>
    </r>
    <r>
      <rPr>
        <i/>
        <sz val="12"/>
        <color theme="1"/>
        <rFont val="Calibri"/>
        <family val="2"/>
        <scheme val="minor"/>
      </rPr>
      <t>International Journal of Food Microbiology</t>
    </r>
  </si>
  <si>
    <t>Log10 value</t>
  </si>
  <si>
    <t>Transfer to i from j</t>
  </si>
  <si>
    <t>Mass Balance</t>
  </si>
  <si>
    <t>to add n slices, simply copy and paste column 'L' n times on the right</t>
  </si>
  <si>
    <t>Disclaimer</t>
  </si>
  <si>
    <t>StDv (&gt;=0)</t>
  </si>
  <si>
    <t>Note: the transfer coefficient will be truncated to [0, 1]</t>
  </si>
  <si>
    <t>Transfer Model</t>
  </si>
  <si>
    <t>Multiple Transfer Model</t>
  </si>
  <si>
    <t>Note: the transfer coefficients will be truncated to [0, 1]</t>
  </si>
  <si>
    <t>input transfer coefficent standard deviations (&gt;=0)</t>
  </si>
  <si>
    <t>Slicer Model</t>
  </si>
  <si>
    <t>Note: the transfer coefficient will be truncated to [0, 0.5]</t>
  </si>
  <si>
    <t>Cleaning and Sanitazing</t>
  </si>
  <si>
    <t>Intermediate modeling results are shown in grey</t>
  </si>
  <si>
    <t>Note: the transfer coefficient follow a logistic distribution with location parameter a and scale parameter b</t>
  </si>
  <si>
    <t>location: a</t>
  </si>
  <si>
    <t>scale: b</t>
  </si>
  <si>
    <t>Note: the log10 reduction follows a normal distribution</t>
  </si>
  <si>
    <t>Log10 reduction</t>
  </si>
  <si>
    <t>Note: the log10 reduction will be trunctaed to [0, Infinity[</t>
  </si>
  <si>
    <t>Corrected Mass of Slice</t>
  </si>
  <si>
    <t>mocor</t>
  </si>
  <si>
    <t>Mass Balance Bacteria</t>
  </si>
  <si>
    <t>Mass Balance Chub</t>
  </si>
  <si>
    <t>temporary transfer coefficient matrix</t>
  </si>
  <si>
    <t>Note: If you want to change this distribution, modify C10 definition</t>
  </si>
  <si>
    <t>NOTE: You need to have @Risk installed and running.</t>
  </si>
  <si>
    <r>
      <t>We the authors have taken all reasonable precautions in creating the spreadsheet models accompanying our publication “</t>
    </r>
    <r>
      <rPr>
        <b/>
        <sz val="11"/>
        <color theme="1"/>
        <rFont val="Calibri"/>
        <family val="2"/>
        <scheme val="minor"/>
      </rPr>
      <t xml:space="preserve">Estimation of </t>
    </r>
    <r>
      <rPr>
        <b/>
        <i/>
        <sz val="11"/>
        <color theme="1"/>
        <rFont val="Calibri"/>
        <family val="2"/>
        <scheme val="minor"/>
      </rPr>
      <t>Listeria monocytogenes</t>
    </r>
    <r>
      <rPr>
        <b/>
        <sz val="11"/>
        <color theme="1"/>
        <rFont val="Calibri"/>
        <family val="2"/>
        <scheme val="minor"/>
      </rPr>
      <t xml:space="preserve"> transfer coefficients and efficacy of bacterial removal through cleaning and sanitation”, International Journal of Food Microbiology, 2012; doi: 10.1016/j.ijfoodmicro.2012.05.019</t>
    </r>
    <r>
      <rPr>
        <sz val="12"/>
        <color theme="1"/>
        <rFont val="Calibri"/>
        <family val="2"/>
        <scheme val="minor"/>
      </rPr>
      <t>. The model is housed on the JIFSAN foodrisk.org website.  However, neither we the authors nor JIFSAN are responsible for errors, omissions or deficiencies regarding the spreadsheet model.  The spreadsheet model is being made available “as is” and without warranties of any kind, either expressed or implied, including, but not limited to, warranties of performance, merchantability, and fitness for a particular purpose.  Responsibility for the interpretation and use of the model lies solely with the user.  In no event shall the authors or JIFSAN be liable for direct, indirect, special, incidental, or consequential damages resulting from the use, misuse, or inability to use the model.  Third parties' use of or acknowledgment of the model, including through the citation of the relevant manuscript, does not in any way represent that we or JIFSAN endorses such third parties or expresses any opinion with respect to their statements.Questions and comments should be directed to either Karin.Hoelzer(at)fda.hhs.gov or Regis.Pouillot(at)fda.hhs.gov.</t>
    </r>
  </si>
  <si>
    <r>
      <t xml:space="preserve">We the authors have taken all reasonable precautions in creating the spreadsheet models accompanying our publication </t>
    </r>
    <r>
      <rPr>
        <b/>
        <sz val="12"/>
        <color theme="1"/>
        <rFont val="Calibri"/>
        <family val="2"/>
        <scheme val="minor"/>
      </rPr>
      <t>“Estimation of</t>
    </r>
    <r>
      <rPr>
        <b/>
        <i/>
        <sz val="12"/>
        <color theme="1"/>
        <rFont val="Calibri"/>
        <family val="2"/>
        <scheme val="minor"/>
      </rPr>
      <t xml:space="preserve"> Listeria monocytogenes </t>
    </r>
    <r>
      <rPr>
        <b/>
        <sz val="12"/>
        <color theme="1"/>
        <rFont val="Calibri"/>
        <family val="2"/>
        <scheme val="minor"/>
      </rPr>
      <t>transfer coefficients and efficacy of bacterial removal through cleaning and sanitation”</t>
    </r>
    <r>
      <rPr>
        <sz val="12"/>
        <color theme="1"/>
        <rFont val="Calibri"/>
        <family val="2"/>
        <scheme val="minor"/>
      </rPr>
      <t>, International Journal of Food Microbiology, 2012; doi: 10.1016/j.ijfoodmicro.2012.05.019. The model is housed on the JIFSAN foodrisk.org website.  However, neither we the authors nor JIFSAN are responsible for errors, omissions or deficiencies regarding the spreadsheet model.  The spreadsheet model is being made available “as is” and without warranties of any kind, either expressed or implied, including, but not limited to, warranties of performance, merchantability, and fitness for a particular purpose.  Responsibility for the interpretation and use of the model lies solely with the user.  In no event shall the authors or JIFSAN be liable for direct, indirect, special, incidental, or consequential damages resulting from the use, misuse, or inability to use the model.  Third parties' use of or acknowledgment of the model, including through the citation of the relevant manuscript, does not in any way represent that we or JIFSAN endorses such third parties or expresses any opinion with respect to their statements.Questions and comments should be directed to either Karin.Hoelzer(at)fda.hhs.gov or Regis.Pouillot(at)fda.hhs.gov.</t>
    </r>
  </si>
  <si>
    <r>
      <t xml:space="preserve">We the authors have taken all reasonable precautions in creating the spreadsheet models accompanying our publication </t>
    </r>
    <r>
      <rPr>
        <b/>
        <sz val="12"/>
        <color theme="1"/>
        <rFont val="Calibri"/>
        <family val="2"/>
        <scheme val="minor"/>
      </rPr>
      <t xml:space="preserve">“Estimation of </t>
    </r>
    <r>
      <rPr>
        <b/>
        <i/>
        <sz val="12"/>
        <color theme="1"/>
        <rFont val="Calibri"/>
        <family val="2"/>
        <scheme val="minor"/>
      </rPr>
      <t>Listeria monocytogenes</t>
    </r>
    <r>
      <rPr>
        <b/>
        <sz val="12"/>
        <color theme="1"/>
        <rFont val="Calibri"/>
        <family val="2"/>
        <scheme val="minor"/>
      </rPr>
      <t xml:space="preserve"> transfer coefficients and efficacy of bacterial removal through cleaning and sanitation”</t>
    </r>
    <r>
      <rPr>
        <sz val="12"/>
        <color theme="1"/>
        <rFont val="Calibri"/>
        <family val="2"/>
        <scheme val="minor"/>
      </rPr>
      <t>, International Journal of Food Microbiology, 2012; doi: 10.1016/j.ijfoodmicro.2012.05.019. The model is housed on the JIFSAN foodrisk.org website.  However, neither we the authors nor JIFSAN are responsible for errors, omissions or deficiencies regarding the spreadsheet model.  The spreadsheet model is being made available “as is” and without warranties of any kind, either expressed or implied, including, but not limited to, warranties of performance, merchantability, and fitness for a particular purpose.  Responsibility for the interpretation and use of the model lies solely with the user.  In no event shall the authors or JIFSAN be liable for direct, indirect, special, incidental, or consequential damages resulting from the use, misuse, or inability to use the model.  Third parties' use of or acknowledgment of the model, including through the citation of the relevant manuscript, does not in any way represent that we or JIFSAN endorses such third parties or expresses any opinion with respect to their statements.Questions and comments should be directed to either Karin.Hoelzer(at)fda.hhs.gov or Regis.Pouillot(at)fda.hhs.gov.</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</si>
</sst>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0" tint="-0.34998626667073579"/>
      <name val="Calibri"/>
      <family val="2"/>
      <scheme val="minor"/>
    </font>
    <font>
      <sz val="11"/>
      <color theme="0" tint="-0.499984740745262"/>
      <name val="Calibri"/>
      <family val="2"/>
      <scheme val="minor"/>
    </font>
    <font>
      <b/>
      <sz val="11"/>
      <color theme="1"/>
      <name val="Calibri"/>
      <family val="2"/>
      <scheme val="minor"/>
    </font>
    <font>
      <sz val="12"/>
      <color theme="1"/>
      <name val="Arial"/>
      <family val="2"/>
    </font>
    <font>
      <sz val="12"/>
      <color theme="1"/>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b/>
      <i/>
      <sz val="11"/>
      <color theme="1"/>
      <name val="Calibri"/>
      <family val="2"/>
      <scheme val="minor"/>
    </font>
    <font>
      <b/>
      <sz val="12"/>
      <color rgb="FF00808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39997558519241921"/>
        <bgColor indexed="64"/>
      </patternFill>
    </fill>
  </fills>
  <borders count="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1">
    <xf numFmtId="0" fontId="0" fillId="0" borderId="0" xfId="0"/>
    <xf numFmtId="0" fontId="0" fillId="2" borderId="0" xfId="0" applyFill="1"/>
    <xf numFmtId="0" fontId="0" fillId="0" borderId="0" xfId="0" applyFill="1"/>
    <xf numFmtId="11" fontId="0" fillId="0" borderId="0" xfId="0" applyNumberFormat="1" applyFill="1"/>
    <xf numFmtId="0" fontId="0" fillId="3" borderId="0" xfId="0" applyFill="1"/>
    <xf numFmtId="0" fontId="0" fillId="4" borderId="0" xfId="0" applyFill="1"/>
    <xf numFmtId="0" fontId="0" fillId="5" borderId="0" xfId="0" applyFill="1"/>
    <xf numFmtId="0" fontId="1" fillId="0" borderId="0" xfId="0" applyFont="1" applyFill="1"/>
    <xf numFmtId="0" fontId="1" fillId="0" borderId="0" xfId="0" applyFont="1"/>
    <xf numFmtId="11" fontId="1" fillId="0" borderId="0" xfId="0" applyNumberFormat="1" applyFont="1"/>
    <xf numFmtId="0" fontId="0" fillId="2" borderId="1" xfId="0" applyFill="1" applyBorder="1"/>
    <xf numFmtId="0" fontId="0" fillId="2" borderId="2" xfId="0" applyFill="1" applyBorder="1"/>
    <xf numFmtId="0" fontId="0" fillId="2" borderId="3" xfId="0" applyFill="1" applyBorder="1"/>
    <xf numFmtId="0" fontId="0" fillId="6" borderId="0" xfId="0" applyFill="1"/>
    <xf numFmtId="0" fontId="1" fillId="6" borderId="0" xfId="0" applyFont="1" applyFill="1"/>
    <xf numFmtId="0" fontId="1" fillId="3" borderId="0" xfId="0" applyFont="1" applyFill="1"/>
    <xf numFmtId="0" fontId="0" fillId="7" borderId="0" xfId="0" applyFill="1"/>
    <xf numFmtId="0" fontId="2" fillId="0" borderId="0" xfId="0" applyFont="1" applyFill="1"/>
    <xf numFmtId="0" fontId="2" fillId="0" borderId="0" xfId="0" applyFont="1"/>
    <xf numFmtId="0" fontId="0" fillId="8" borderId="0" xfId="0" applyFill="1"/>
    <xf numFmtId="0" fontId="0" fillId="6" borderId="0" xfId="0" applyFont="1" applyFill="1"/>
    <xf numFmtId="0" fontId="0" fillId="4" borderId="0" xfId="0" applyFont="1" applyFill="1"/>
    <xf numFmtId="0" fontId="2" fillId="6" borderId="0" xfId="0" applyFont="1" applyFill="1"/>
    <xf numFmtId="0" fontId="3" fillId="9" borderId="0" xfId="0" applyFont="1" applyFill="1"/>
    <xf numFmtId="0" fontId="3" fillId="0" borderId="0" xfId="0" applyFont="1"/>
    <xf numFmtId="11" fontId="0" fillId="0" borderId="0" xfId="0" applyNumberFormat="1"/>
    <xf numFmtId="1" fontId="0" fillId="4" borderId="0" xfId="0" applyNumberFormat="1" applyFill="1"/>
    <xf numFmtId="0" fontId="1" fillId="0" borderId="0" xfId="0" applyNumberFormat="1" applyFont="1"/>
    <xf numFmtId="0" fontId="5" fillId="0" borderId="0" xfId="0" applyFont="1" applyAlignment="1">
      <alignment vertical="center" wrapText="1"/>
    </xf>
    <xf numFmtId="0" fontId="0" fillId="0" borderId="0" xfId="0" applyFont="1" applyAlignment="1">
      <alignment wrapText="1"/>
    </xf>
    <xf numFmtId="0" fontId="5" fillId="0" borderId="0" xfId="0" applyFont="1" applyAlignment="1">
      <alignment horizontal="left" vertical="center" wrapText="1"/>
    </xf>
    <xf numFmtId="1" fontId="0" fillId="8" borderId="0" xfId="0" applyNumberFormat="1" applyFill="1"/>
    <xf numFmtId="1" fontId="3" fillId="0" borderId="0" xfId="0" applyNumberFormat="1" applyFont="1"/>
    <xf numFmtId="0" fontId="3" fillId="0" borderId="0" xfId="0" applyFont="1" applyFill="1"/>
    <xf numFmtId="0" fontId="10" fillId="0" borderId="0" xfId="0" applyFont="1" applyAlignment="1">
      <alignment vertical="center"/>
    </xf>
    <xf numFmtId="0" fontId="0" fillId="0" borderId="0" xfId="0" applyAlignment="1">
      <alignment wrapText="1"/>
    </xf>
    <xf numFmtId="0" fontId="0" fillId="5" borderId="0" xfId="0" applyFill="1" applyProtection="1">
      <protection locked="0"/>
    </xf>
    <xf numFmtId="0" fontId="0" fillId="5" borderId="0" xfId="0" applyNumberFormat="1" applyFill="1" applyProtection="1">
      <protection locked="0"/>
    </xf>
    <xf numFmtId="0" fontId="2" fillId="0" borderId="0" xfId="0" applyFont="1" applyProtection="1">
      <protection locked="0"/>
    </xf>
    <xf numFmtId="0" fontId="5" fillId="0" borderId="0" xfId="0" applyFont="1" applyAlignment="1">
      <alignment horizontal="left"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workbookViewId="0">
      <selection activeCell="O23" sqref="O23"/>
    </sheetView>
  </sheetViews>
  <sheetFormatPr defaultRowHeight="15" x14ac:dyDescent="0.25"/>
  <cols>
    <col min="1" max="1" width="53" customWidth="1"/>
    <col min="3" max="3" width="12.7109375" customWidth="1"/>
    <col min="4" max="4" width="11.140625" customWidth="1"/>
    <col min="5" max="5" width="15.7109375" customWidth="1"/>
    <col min="6" max="6" width="17.42578125" customWidth="1"/>
    <col min="7" max="7" width="12.7109375" customWidth="1"/>
  </cols>
  <sheetData>
    <row r="1" spans="1:13" ht="15.75" x14ac:dyDescent="0.25">
      <c r="A1" s="34" t="s">
        <v>112</v>
      </c>
    </row>
    <row r="2" spans="1:13" s="29" customFormat="1" ht="31.5" customHeight="1" x14ac:dyDescent="0.25">
      <c r="A2" s="39" t="s">
        <v>104</v>
      </c>
      <c r="B2" s="39"/>
      <c r="C2" s="39"/>
      <c r="D2" s="39"/>
      <c r="E2" s="39"/>
      <c r="F2" s="39"/>
      <c r="G2" s="39"/>
      <c r="H2" s="39"/>
      <c r="I2" s="39"/>
      <c r="J2" s="39"/>
      <c r="K2" s="39"/>
      <c r="L2" s="39"/>
      <c r="M2" s="39"/>
    </row>
    <row r="3" spans="1:13" x14ac:dyDescent="0.25">
      <c r="A3" s="24" t="s">
        <v>132</v>
      </c>
    </row>
    <row r="4" spans="1:13" x14ac:dyDescent="0.25">
      <c r="A4" s="6" t="s">
        <v>39</v>
      </c>
    </row>
    <row r="5" spans="1:13" x14ac:dyDescent="0.25">
      <c r="A5" s="5" t="s">
        <v>43</v>
      </c>
    </row>
    <row r="6" spans="1:13" s="2" customFormat="1" x14ac:dyDescent="0.25">
      <c r="A6" s="17" t="s">
        <v>119</v>
      </c>
    </row>
    <row r="7" spans="1:13" x14ac:dyDescent="0.25">
      <c r="A7" s="4"/>
      <c r="B7" s="4"/>
      <c r="C7" s="4" t="s">
        <v>38</v>
      </c>
      <c r="D7" s="4"/>
      <c r="E7" s="4"/>
      <c r="F7" s="4"/>
      <c r="G7" s="4"/>
    </row>
    <row r="8" spans="1:13" x14ac:dyDescent="0.25">
      <c r="A8" s="1" t="s">
        <v>0</v>
      </c>
      <c r="B8" s="1" t="s">
        <v>2</v>
      </c>
      <c r="C8" s="37">
        <v>1000</v>
      </c>
      <c r="E8" s="3"/>
    </row>
    <row r="9" spans="1:13" x14ac:dyDescent="0.25">
      <c r="A9" s="1" t="s">
        <v>1</v>
      </c>
      <c r="B9" s="1" t="s">
        <v>3</v>
      </c>
      <c r="C9" s="36">
        <v>50</v>
      </c>
      <c r="E9" s="2"/>
    </row>
    <row r="10" spans="1:13" x14ac:dyDescent="0.25">
      <c r="C10" s="4" t="s">
        <v>37</v>
      </c>
      <c r="D10" s="4" t="s">
        <v>110</v>
      </c>
      <c r="E10" s="2" t="s">
        <v>105</v>
      </c>
    </row>
    <row r="11" spans="1:13" x14ac:dyDescent="0.25">
      <c r="A11" s="1" t="s">
        <v>106</v>
      </c>
      <c r="B11" s="1" t="s">
        <v>4</v>
      </c>
      <c r="C11" s="36">
        <v>-1.69</v>
      </c>
      <c r="D11" s="36">
        <v>0.81</v>
      </c>
      <c r="E11" s="7" t="e">
        <f ca="1">_xll.RiskNormal(C11,D11)</f>
        <v>#NAME?</v>
      </c>
      <c r="F11" s="27" t="e">
        <f ca="1">MIN(10^E11,1)</f>
        <v>#NAME?</v>
      </c>
    </row>
    <row r="12" spans="1:13" x14ac:dyDescent="0.25">
      <c r="A12" s="1" t="s">
        <v>13</v>
      </c>
      <c r="B12" s="1" t="s">
        <v>5</v>
      </c>
      <c r="C12" s="36">
        <v>-4.96</v>
      </c>
      <c r="D12" s="36">
        <v>0.81</v>
      </c>
      <c r="E12" s="7" t="e">
        <f ca="1">_xll.RiskNormal(C12,D12)</f>
        <v>#NAME?</v>
      </c>
      <c r="F12" s="27" t="e">
        <f ca="1">MIN(10^E12,1)</f>
        <v>#NAME?</v>
      </c>
    </row>
    <row r="13" spans="1:13" x14ac:dyDescent="0.25">
      <c r="C13" t="s">
        <v>111</v>
      </c>
      <c r="E13" s="8"/>
      <c r="F13" s="8"/>
    </row>
    <row r="14" spans="1:13" x14ac:dyDescent="0.25">
      <c r="A14" s="8" t="s">
        <v>10</v>
      </c>
      <c r="B14" s="8" t="s">
        <v>11</v>
      </c>
      <c r="E14" s="8"/>
      <c r="F14" s="8" t="e">
        <f ca="1">_xll.RiskBinomial(C8,1-F12)</f>
        <v>#NAME?</v>
      </c>
    </row>
    <row r="15" spans="1:13" x14ac:dyDescent="0.25">
      <c r="A15" s="8" t="s">
        <v>12</v>
      </c>
      <c r="B15" s="8" t="s">
        <v>14</v>
      </c>
      <c r="E15" s="8"/>
      <c r="F15" s="8" t="e">
        <f ca="1">_xll.RiskBinomial(C9,F11)</f>
        <v>#NAME?</v>
      </c>
    </row>
    <row r="16" spans="1:13" x14ac:dyDescent="0.25">
      <c r="E16" s="8"/>
      <c r="F16" s="8"/>
    </row>
    <row r="17" spans="1:13" x14ac:dyDescent="0.25">
      <c r="I17" s="24" t="s">
        <v>107</v>
      </c>
    </row>
    <row r="18" spans="1:13" x14ac:dyDescent="0.25">
      <c r="A18" s="5" t="s">
        <v>6</v>
      </c>
      <c r="B18" s="5" t="s">
        <v>7</v>
      </c>
      <c r="C18" s="5"/>
      <c r="D18" s="5"/>
      <c r="E18" s="5"/>
      <c r="F18" s="5" t="e">
        <f ca="1">_xll.RiskOutput(,"Fi",1)+F14+F15</f>
        <v>#NAME?</v>
      </c>
      <c r="I18" s="32" t="e">
        <f ca="1">SUM(C8:C9)-SUM(F18:F19)</f>
        <v>#NAME?</v>
      </c>
    </row>
    <row r="19" spans="1:13" x14ac:dyDescent="0.25">
      <c r="A19" s="5" t="s">
        <v>8</v>
      </c>
      <c r="B19" s="5" t="s">
        <v>9</v>
      </c>
      <c r="C19" s="5"/>
      <c r="D19" s="5"/>
      <c r="E19" s="5"/>
      <c r="F19" s="26" t="e">
        <f ca="1">_xll.RiskOutput(,"Fi",2)+C8+C9-F18</f>
        <v>#NAME?</v>
      </c>
    </row>
    <row r="21" spans="1:13" x14ac:dyDescent="0.25">
      <c r="F21" s="8"/>
      <c r="G21" s="9"/>
    </row>
    <row r="22" spans="1:13" ht="15.75" x14ac:dyDescent="0.25">
      <c r="A22" s="34" t="s">
        <v>109</v>
      </c>
    </row>
    <row r="23" spans="1:13" s="29" customFormat="1" ht="134.25" customHeight="1" x14ac:dyDescent="0.25">
      <c r="A23" s="39" t="s">
        <v>135</v>
      </c>
      <c r="B23" s="39"/>
      <c r="C23" s="39"/>
      <c r="D23" s="39"/>
      <c r="E23" s="39"/>
      <c r="F23" s="39"/>
      <c r="G23" s="39"/>
      <c r="H23" s="39"/>
      <c r="I23" s="39"/>
      <c r="J23" s="39"/>
      <c r="K23" s="39"/>
      <c r="L23" s="39"/>
      <c r="M23" s="39"/>
    </row>
    <row r="24" spans="1:13" s="35" customFormat="1" x14ac:dyDescent="0.25">
      <c r="A24" s="40"/>
      <c r="B24" s="40"/>
      <c r="C24" s="40"/>
      <c r="D24" s="40"/>
      <c r="E24" s="40"/>
      <c r="F24" s="40"/>
      <c r="G24" s="40"/>
      <c r="H24" s="40"/>
      <c r="I24" s="40"/>
      <c r="J24" s="40"/>
      <c r="K24" s="40"/>
      <c r="L24" s="40"/>
      <c r="M24" s="40"/>
    </row>
    <row r="25" spans="1:13" s="35" customFormat="1" x14ac:dyDescent="0.25">
      <c r="A25" s="40"/>
      <c r="B25" s="40"/>
      <c r="C25" s="40"/>
      <c r="D25" s="40"/>
      <c r="E25" s="40"/>
      <c r="F25" s="40"/>
      <c r="G25" s="40"/>
      <c r="H25" s="40"/>
      <c r="I25" s="40"/>
      <c r="J25" s="40"/>
      <c r="K25" s="40"/>
      <c r="L25" s="40"/>
      <c r="M25" s="40"/>
    </row>
  </sheetData>
  <sheetProtection password="CC7C" sheet="1" objects="1" scenarios="1"/>
  <mergeCells count="4">
    <mergeCell ref="A2:M2"/>
    <mergeCell ref="A23:M23"/>
    <mergeCell ref="A24:M24"/>
    <mergeCell ref="A25:M2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10" workbookViewId="0">
      <selection activeCell="A36" sqref="A36:M36"/>
    </sheetView>
  </sheetViews>
  <sheetFormatPr defaultRowHeight="15" x14ac:dyDescent="0.25"/>
  <cols>
    <col min="1" max="1" width="54.85546875" customWidth="1"/>
    <col min="3" max="3" width="13.140625" customWidth="1"/>
    <col min="12" max="12" width="12" bestFit="1" customWidth="1"/>
  </cols>
  <sheetData>
    <row r="1" spans="1:13" ht="15.75" x14ac:dyDescent="0.25">
      <c r="A1" s="34" t="s">
        <v>113</v>
      </c>
    </row>
    <row r="2" spans="1:13" s="29" customFormat="1" ht="31.5" customHeight="1" x14ac:dyDescent="0.25">
      <c r="A2" s="39" t="s">
        <v>104</v>
      </c>
      <c r="B2" s="39"/>
      <c r="C2" s="39"/>
      <c r="D2" s="39"/>
      <c r="E2" s="39"/>
      <c r="F2" s="39"/>
      <c r="G2" s="39"/>
      <c r="H2" s="39"/>
      <c r="I2" s="39"/>
      <c r="J2" s="39"/>
      <c r="K2" s="39"/>
      <c r="L2" s="39"/>
      <c r="M2" s="39"/>
    </row>
    <row r="3" spans="1:13" x14ac:dyDescent="0.25">
      <c r="A3" t="s">
        <v>40</v>
      </c>
    </row>
    <row r="4" spans="1:13" x14ac:dyDescent="0.25">
      <c r="A4" s="6" t="s">
        <v>39</v>
      </c>
    </row>
    <row r="5" spans="1:13" x14ac:dyDescent="0.25">
      <c r="A5" s="5" t="s">
        <v>43</v>
      </c>
    </row>
    <row r="6" spans="1:13" s="2" customFormat="1" x14ac:dyDescent="0.25">
      <c r="A6" s="17" t="s">
        <v>119</v>
      </c>
    </row>
    <row r="7" spans="1:13" x14ac:dyDescent="0.25">
      <c r="A7" s="1" t="s">
        <v>0</v>
      </c>
      <c r="B7" s="1" t="s">
        <v>2</v>
      </c>
      <c r="C7" s="36">
        <v>100000</v>
      </c>
      <c r="D7" s="2"/>
    </row>
    <row r="8" spans="1:13" x14ac:dyDescent="0.25">
      <c r="A8" s="1" t="s">
        <v>1</v>
      </c>
      <c r="B8" s="1" t="s">
        <v>3</v>
      </c>
      <c r="C8" s="36">
        <v>5000</v>
      </c>
      <c r="D8" s="2"/>
    </row>
    <row r="9" spans="1:13" x14ac:dyDescent="0.25">
      <c r="A9" s="1" t="s">
        <v>15</v>
      </c>
      <c r="B9" s="1" t="s">
        <v>16</v>
      </c>
      <c r="C9" s="36">
        <v>7000</v>
      </c>
      <c r="D9" s="2"/>
    </row>
    <row r="10" spans="1:13" x14ac:dyDescent="0.25">
      <c r="A10" s="1" t="s">
        <v>33</v>
      </c>
      <c r="B10" s="1" t="s">
        <v>41</v>
      </c>
      <c r="C10" s="36">
        <v>100000</v>
      </c>
      <c r="D10" s="2"/>
    </row>
    <row r="11" spans="1:13" x14ac:dyDescent="0.25">
      <c r="A11" s="1" t="s">
        <v>34</v>
      </c>
      <c r="B11" s="1" t="s">
        <v>42</v>
      </c>
      <c r="C11" s="36">
        <v>3000</v>
      </c>
      <c r="D11" s="2"/>
    </row>
    <row r="12" spans="1:13" x14ac:dyDescent="0.25">
      <c r="C12" s="2"/>
      <c r="D12" s="2"/>
    </row>
    <row r="13" spans="1:13" x14ac:dyDescent="0.25">
      <c r="A13" s="4"/>
      <c r="B13" s="4" t="s">
        <v>35</v>
      </c>
      <c r="C13" s="4"/>
      <c r="D13" s="4"/>
      <c r="E13" s="4"/>
      <c r="F13" s="4"/>
      <c r="G13" s="4"/>
      <c r="H13" s="4"/>
      <c r="I13" s="4" t="s">
        <v>115</v>
      </c>
      <c r="J13" s="4"/>
      <c r="K13" s="4"/>
      <c r="L13" s="4"/>
      <c r="M13" s="4"/>
    </row>
    <row r="14" spans="1:13" x14ac:dyDescent="0.25">
      <c r="A14" s="12"/>
      <c r="B14" s="10" t="s">
        <v>19</v>
      </c>
      <c r="C14" s="10" t="s">
        <v>20</v>
      </c>
      <c r="D14" s="10" t="s">
        <v>21</v>
      </c>
      <c r="E14" s="10" t="s">
        <v>22</v>
      </c>
      <c r="F14" s="10" t="s">
        <v>23</v>
      </c>
      <c r="H14" s="12"/>
      <c r="I14" s="10" t="s">
        <v>19</v>
      </c>
      <c r="J14" s="10" t="s">
        <v>20</v>
      </c>
      <c r="K14" s="10" t="s">
        <v>21</v>
      </c>
      <c r="L14" s="10" t="s">
        <v>22</v>
      </c>
      <c r="M14" s="10" t="s">
        <v>23</v>
      </c>
    </row>
    <row r="15" spans="1:13" x14ac:dyDescent="0.25">
      <c r="A15" s="11" t="s">
        <v>24</v>
      </c>
      <c r="B15" s="13"/>
      <c r="C15" s="36">
        <v>-2</v>
      </c>
      <c r="D15" s="36">
        <v>-0.5</v>
      </c>
      <c r="E15" s="36">
        <v>-0.1</v>
      </c>
      <c r="F15" s="36">
        <v>-0.5</v>
      </c>
      <c r="H15" s="11" t="s">
        <v>24</v>
      </c>
      <c r="I15" s="13"/>
      <c r="J15" s="36">
        <v>1</v>
      </c>
      <c r="K15" s="36">
        <v>1</v>
      </c>
      <c r="L15" s="36">
        <v>1</v>
      </c>
      <c r="M15" s="36">
        <v>1</v>
      </c>
    </row>
    <row r="16" spans="1:13" x14ac:dyDescent="0.25">
      <c r="A16" s="11" t="s">
        <v>25</v>
      </c>
      <c r="B16" s="36">
        <v>-2</v>
      </c>
      <c r="C16" s="13"/>
      <c r="D16" s="36">
        <v>-0.3</v>
      </c>
      <c r="E16" s="36">
        <v>-0.01</v>
      </c>
      <c r="F16" s="36">
        <v>-5</v>
      </c>
      <c r="H16" s="11" t="s">
        <v>25</v>
      </c>
      <c r="I16" s="36">
        <v>1</v>
      </c>
      <c r="J16" s="13"/>
      <c r="K16" s="36">
        <v>1</v>
      </c>
      <c r="L16" s="36">
        <v>1</v>
      </c>
      <c r="M16" s="36">
        <v>1</v>
      </c>
    </row>
    <row r="17" spans="1:13" x14ac:dyDescent="0.25">
      <c r="A17" s="11" t="s">
        <v>26</v>
      </c>
      <c r="B17" s="36">
        <v>-3</v>
      </c>
      <c r="C17" s="36">
        <v>-4</v>
      </c>
      <c r="D17" s="13"/>
      <c r="E17" s="36">
        <v>-0.5</v>
      </c>
      <c r="F17" s="36">
        <v>-0.1</v>
      </c>
      <c r="H17" s="11" t="s">
        <v>26</v>
      </c>
      <c r="I17" s="36">
        <v>1</v>
      </c>
      <c r="J17" s="36">
        <v>1</v>
      </c>
      <c r="K17" s="13"/>
      <c r="L17" s="36">
        <v>1</v>
      </c>
      <c r="M17" s="36">
        <v>1</v>
      </c>
    </row>
    <row r="18" spans="1:13" x14ac:dyDescent="0.25">
      <c r="A18" s="11" t="s">
        <v>27</v>
      </c>
      <c r="B18" s="36">
        <v>-0.5</v>
      </c>
      <c r="C18" s="36">
        <v>-0.1</v>
      </c>
      <c r="D18" s="36">
        <v>-0.5</v>
      </c>
      <c r="E18" s="13"/>
      <c r="F18" s="36">
        <v>-5</v>
      </c>
      <c r="H18" s="11" t="s">
        <v>27</v>
      </c>
      <c r="I18" s="36">
        <v>1</v>
      </c>
      <c r="J18" s="36">
        <v>1</v>
      </c>
      <c r="K18" s="36">
        <v>1</v>
      </c>
      <c r="L18" s="13"/>
      <c r="M18" s="36">
        <v>1</v>
      </c>
    </row>
    <row r="19" spans="1:13" x14ac:dyDescent="0.25">
      <c r="A19" s="11" t="s">
        <v>28</v>
      </c>
      <c r="B19" s="36">
        <v>-5</v>
      </c>
      <c r="C19" s="36">
        <v>-0.5</v>
      </c>
      <c r="D19" s="36">
        <v>-5</v>
      </c>
      <c r="E19" s="36">
        <v>-1.0000000000000001E-5</v>
      </c>
      <c r="F19" s="13"/>
      <c r="H19" s="11" t="s">
        <v>28</v>
      </c>
      <c r="I19" s="36">
        <v>1</v>
      </c>
      <c r="J19" s="36">
        <v>1</v>
      </c>
      <c r="K19" s="36">
        <v>1</v>
      </c>
      <c r="L19" s="36">
        <v>1</v>
      </c>
      <c r="M19" s="13"/>
    </row>
    <row r="20" spans="1:13" x14ac:dyDescent="0.25">
      <c r="B20" t="s">
        <v>114</v>
      </c>
      <c r="C20" s="2"/>
      <c r="D20" s="2"/>
      <c r="E20" s="2"/>
    </row>
    <row r="21" spans="1:13" x14ac:dyDescent="0.25">
      <c r="A21" s="15"/>
      <c r="B21" s="15" t="s">
        <v>36</v>
      </c>
      <c r="C21" s="15"/>
      <c r="D21" s="15"/>
      <c r="E21" s="15"/>
      <c r="F21" s="15"/>
      <c r="G21" s="15"/>
      <c r="H21" s="15"/>
      <c r="I21" s="15" t="s">
        <v>130</v>
      </c>
      <c r="J21" s="15"/>
      <c r="K21" s="15"/>
      <c r="L21" s="15"/>
      <c r="M21" s="15"/>
    </row>
    <row r="22" spans="1:13" x14ac:dyDescent="0.25">
      <c r="A22" s="8"/>
      <c r="B22" s="7" t="s">
        <v>19</v>
      </c>
      <c r="C22" s="7" t="s">
        <v>20</v>
      </c>
      <c r="D22" s="7" t="s">
        <v>21</v>
      </c>
      <c r="E22" s="7" t="s">
        <v>22</v>
      </c>
      <c r="F22" s="7" t="s">
        <v>23</v>
      </c>
      <c r="G22" s="8"/>
      <c r="H22" s="8"/>
      <c r="I22" s="8" t="s">
        <v>19</v>
      </c>
      <c r="J22" s="7" t="s">
        <v>20</v>
      </c>
      <c r="K22" s="7" t="s">
        <v>21</v>
      </c>
      <c r="L22" s="7" t="s">
        <v>22</v>
      </c>
      <c r="M22" s="7" t="s">
        <v>23</v>
      </c>
    </row>
    <row r="23" spans="1:13" x14ac:dyDescent="0.25">
      <c r="A23" s="8" t="s">
        <v>24</v>
      </c>
      <c r="B23" s="14" t="e">
        <f ca="1">_xll.RiskBinomial(C7,I23)</f>
        <v>#NAME?</v>
      </c>
      <c r="C23" s="8" t="e">
        <f ca="1">_xll.RiskBinomial(C8-C24,J23/(J23+J25+J26+J27))</f>
        <v>#NAME?</v>
      </c>
      <c r="D23" s="8" t="e">
        <f ca="1">_xll.RiskBinomial(C9-D25,K23/(K23+K24+K26+K27))</f>
        <v>#NAME?</v>
      </c>
      <c r="E23" s="8" t="e">
        <f ca="1">_xll.RiskBinomial(C10-E26,L23/(L23+L24+L25+L27))</f>
        <v>#NAME?</v>
      </c>
      <c r="F23" s="8" t="e">
        <f ca="1">_xll.RiskBinomial(C11-F27,M23/(M23+M24+M25+M26))</f>
        <v>#NAME?</v>
      </c>
      <c r="G23" s="8"/>
      <c r="H23" s="8"/>
      <c r="I23" s="14" t="e">
        <f ca="1">(1-I24)*(1-I25)*(1-I26)*(1-I27)</f>
        <v>#NAME?</v>
      </c>
      <c r="J23" s="7" t="e">
        <f ca="1">MIN(10^_xll.RiskNormal(C15,J15),1)</f>
        <v>#NAME?</v>
      </c>
      <c r="K23" s="7" t="e">
        <f ca="1">MIN(10^_xll.RiskNormal(D15,K15),1)</f>
        <v>#NAME?</v>
      </c>
      <c r="L23" s="7" t="e">
        <f ca="1">MIN(10^_xll.RiskNormal(E15,L15),1)</f>
        <v>#NAME?</v>
      </c>
      <c r="M23" s="7" t="e">
        <f ca="1">MIN(10^_xll.RiskNormal(F15,M15),1)</f>
        <v>#NAME?</v>
      </c>
    </row>
    <row r="24" spans="1:13" x14ac:dyDescent="0.25">
      <c r="A24" s="8" t="s">
        <v>25</v>
      </c>
      <c r="B24" s="8" t="e">
        <f ca="1">_xll.RiskBinomial(C7-B23,I24/(I24+I25+I26+I27))</f>
        <v>#NAME?</v>
      </c>
      <c r="C24" s="14" t="e">
        <f ca="1">_xll.RiskBinomial(C8,J24)</f>
        <v>#NAME?</v>
      </c>
      <c r="D24" s="8" t="e">
        <f ca="1">_xll.RiskBinomial(C9-D25-D23,K24/(K24+K26+K27))</f>
        <v>#NAME?</v>
      </c>
      <c r="E24" s="8" t="e">
        <f ca="1">_xll.RiskBinomial(C10-E26-E23,L24/(L24+L25+L27))</f>
        <v>#NAME?</v>
      </c>
      <c r="F24" s="8" t="e">
        <f ca="1">_xll.RiskBinomial(C11-F27-F23,M24/(M24+M25+M26))</f>
        <v>#NAME?</v>
      </c>
      <c r="G24" s="8"/>
      <c r="H24" s="8"/>
      <c r="I24" s="7" t="e">
        <f ca="1">MIN(10^_xll.RiskNormal(B16,I16),1)</f>
        <v>#NAME?</v>
      </c>
      <c r="J24" s="14" t="e">
        <f ca="1">(1-J23)*(1-J25)*(1-J26)*(1-J27)</f>
        <v>#NAME?</v>
      </c>
      <c r="K24" s="7" t="e">
        <f ca="1">MIN(10^_xll.RiskNormal(D16,K16),1)</f>
        <v>#NAME?</v>
      </c>
      <c r="L24" s="7" t="e">
        <f ca="1">MIN(10^_xll.RiskNormal(E16,L16),1)</f>
        <v>#NAME?</v>
      </c>
      <c r="M24" s="7" t="e">
        <f ca="1">MIN(10^_xll.RiskNormal(F16,M16),1)</f>
        <v>#NAME?</v>
      </c>
    </row>
    <row r="25" spans="1:13" x14ac:dyDescent="0.25">
      <c r="A25" s="8" t="s">
        <v>26</v>
      </c>
      <c r="B25" s="8" t="e">
        <f ca="1">_xll.RiskBinomial(C7-B23-B24,I25/(I25+I26+I27))</f>
        <v>#NAME?</v>
      </c>
      <c r="C25" s="8" t="e">
        <f ca="1">_xll.RiskBinomial(C8-C24-C23,J25/(J25+J26+J27))</f>
        <v>#NAME?</v>
      </c>
      <c r="D25" s="14" t="e">
        <f ca="1">_xll.RiskBinomial(C9,K25)</f>
        <v>#NAME?</v>
      </c>
      <c r="E25" s="8" t="e">
        <f ca="1">_xll.RiskBinomial(C10-E26-E23-E24,L25/(L25+L27))</f>
        <v>#NAME?</v>
      </c>
      <c r="F25" s="8" t="e">
        <f ca="1">_xll.RiskBinomial(C11-F27-F23-F24,M25/(M25+M26))</f>
        <v>#NAME?</v>
      </c>
      <c r="G25" s="8"/>
      <c r="H25" s="8"/>
      <c r="I25" s="7" t="e">
        <f ca="1">MIN(10^_xll.RiskNormal(B17,I17),1)</f>
        <v>#NAME?</v>
      </c>
      <c r="J25" s="7" t="e">
        <f ca="1">MIN(10^_xll.RiskNormal(C17,J17),1)</f>
        <v>#NAME?</v>
      </c>
      <c r="K25" s="14" t="e">
        <f ca="1">(1-K23)*(1-K24)*(1-K26)*(1-K27)</f>
        <v>#NAME?</v>
      </c>
      <c r="L25" s="7" t="e">
        <f ca="1">MIN(10^_xll.RiskNormal(E17,L17),1)</f>
        <v>#NAME?</v>
      </c>
      <c r="M25" s="7" t="e">
        <f ca="1">MIN(10^_xll.RiskNormal(F17,M17),1)</f>
        <v>#NAME?</v>
      </c>
    </row>
    <row r="26" spans="1:13" x14ac:dyDescent="0.25">
      <c r="A26" s="8" t="s">
        <v>27</v>
      </c>
      <c r="B26" s="8" t="e">
        <f ca="1">_xll.RiskBinomial(C7-B23-B24-B25,I26/(I26+I27))</f>
        <v>#NAME?</v>
      </c>
      <c r="C26" s="8" t="e">
        <f ca="1">_xll.RiskBinomial(C8-C23-C24-C25,J26/(J26+J27))</f>
        <v>#NAME?</v>
      </c>
      <c r="D26" s="8" t="e">
        <f ca="1">_xll.RiskBinomial(C9-D23-D24-D25,K26/(K26+K27))</f>
        <v>#NAME?</v>
      </c>
      <c r="E26" s="14" t="e">
        <f ca="1">_xll.RiskBinomial(C10,L26)</f>
        <v>#NAME?</v>
      </c>
      <c r="F26" s="8" t="e">
        <f ca="1">C11-F27-F23-F24-F25</f>
        <v>#NAME?</v>
      </c>
      <c r="G26" s="8"/>
      <c r="H26" s="8"/>
      <c r="I26" s="7" t="e">
        <f ca="1">MIN(10^_xll.RiskNormal(B18,I18),1)</f>
        <v>#NAME?</v>
      </c>
      <c r="J26" s="7" t="e">
        <f ca="1">MIN(10^_xll.RiskNormal(C18,J18),1)</f>
        <v>#NAME?</v>
      </c>
      <c r="K26" s="7" t="e">
        <f ca="1">MIN(10^_xll.RiskNormal(D18,K18),1)</f>
        <v>#NAME?</v>
      </c>
      <c r="L26" s="14" t="e">
        <f ca="1">(1-L23)*(1-L24)*(1-L25)*(1-L27)</f>
        <v>#NAME?</v>
      </c>
      <c r="M26" s="7" t="e">
        <f ca="1">MIN(10^_xll.RiskNormal(F18,M18),1)</f>
        <v>#NAME?</v>
      </c>
    </row>
    <row r="27" spans="1:13" x14ac:dyDescent="0.25">
      <c r="A27" s="8" t="s">
        <v>28</v>
      </c>
      <c r="B27" s="8" t="e">
        <f ca="1">MAX(C7-B23-B24-B25-B26,0)</f>
        <v>#NAME?</v>
      </c>
      <c r="C27" s="8" t="e">
        <f ca="1">MAX(C8-C23-C24-C25-C26,0)</f>
        <v>#NAME?</v>
      </c>
      <c r="D27" s="8" t="e">
        <f ca="1">MAX(C9-D23-D24-D25-D26,0)</f>
        <v>#NAME?</v>
      </c>
      <c r="E27" s="8" t="e">
        <f ca="1">MAX(C10-E23-E24-E25-E26,0)</f>
        <v>#NAME?</v>
      </c>
      <c r="F27" s="14" t="e">
        <f ca="1">_xll.RiskBinomial(C11,M27)</f>
        <v>#NAME?</v>
      </c>
      <c r="G27" s="8"/>
      <c r="H27" s="8"/>
      <c r="I27" s="7" t="e">
        <f ca="1">MIN(10^_xll.RiskNormal(B19,I19),1)</f>
        <v>#NAME?</v>
      </c>
      <c r="J27" s="7" t="e">
        <f ca="1">MIN(10^_xll.RiskNormal(C19,J19),1)</f>
        <v>#NAME?</v>
      </c>
      <c r="K27" s="7" t="e">
        <f ca="1">MIN(10^_xll.RiskNormal(D19,K19),1)</f>
        <v>#NAME?</v>
      </c>
      <c r="L27" s="7" t="e">
        <f ca="1">MIN(10^_xll.RiskNormal(E19,L19),1)</f>
        <v>#NAME?</v>
      </c>
      <c r="M27" s="14" t="e">
        <f ca="1">(1-M23)*(1-M24)*(1-M25)*(1-M26)</f>
        <v>#NAME?</v>
      </c>
    </row>
    <row r="29" spans="1:13" x14ac:dyDescent="0.25">
      <c r="A29" s="5" t="s">
        <v>6</v>
      </c>
      <c r="B29" s="5" t="s">
        <v>7</v>
      </c>
      <c r="C29" s="5"/>
      <c r="D29" s="5" t="e">
        <f ca="1">_xll.RiskOutput(,D22,1)+SUM(B23:F23)</f>
        <v>#NAME?</v>
      </c>
    </row>
    <row r="30" spans="1:13" x14ac:dyDescent="0.25">
      <c r="A30" s="5" t="s">
        <v>8</v>
      </c>
      <c r="B30" s="5" t="s">
        <v>9</v>
      </c>
      <c r="C30" s="5"/>
      <c r="D30" s="5" t="e">
        <f ca="1">_xll.RiskOutput(,D22,2)+SUM(B24:F24)</f>
        <v>#NAME?</v>
      </c>
      <c r="H30" s="24" t="s">
        <v>107</v>
      </c>
    </row>
    <row r="31" spans="1:13" x14ac:dyDescent="0.25">
      <c r="A31" s="5" t="s">
        <v>17</v>
      </c>
      <c r="B31" s="5" t="s">
        <v>18</v>
      </c>
      <c r="C31" s="5"/>
      <c r="D31" s="5" t="e">
        <f ca="1">_xll.RiskOutput(,D22,3)+SUM(B25:F25)</f>
        <v>#NAME?</v>
      </c>
      <c r="H31" s="24" t="e">
        <f ca="1">SUM(C7:C11)-SUM(D29:D33)</f>
        <v>#NAME?</v>
      </c>
    </row>
    <row r="32" spans="1:13" x14ac:dyDescent="0.25">
      <c r="A32" s="5" t="s">
        <v>31</v>
      </c>
      <c r="B32" s="5" t="s">
        <v>29</v>
      </c>
      <c r="C32" s="5"/>
      <c r="D32" s="5" t="e">
        <f ca="1">_xll.RiskOutput(,D22,4)+SUM(B26:F26)</f>
        <v>#NAME?</v>
      </c>
    </row>
    <row r="33" spans="1:13" x14ac:dyDescent="0.25">
      <c r="A33" s="5" t="s">
        <v>32</v>
      </c>
      <c r="B33" s="5" t="s">
        <v>30</v>
      </c>
      <c r="C33" s="5"/>
      <c r="D33" s="5" t="e">
        <f ca="1">_xll.RiskOutput(,D22,5)+SUM(B27:F27)</f>
        <v>#NAME?</v>
      </c>
    </row>
    <row r="35" spans="1:13" ht="15.75" x14ac:dyDescent="0.25">
      <c r="A35" s="34" t="s">
        <v>109</v>
      </c>
    </row>
    <row r="36" spans="1:13" s="29" customFormat="1" ht="134.25" customHeight="1" x14ac:dyDescent="0.25">
      <c r="A36" s="39" t="s">
        <v>135</v>
      </c>
      <c r="B36" s="39"/>
      <c r="C36" s="39"/>
      <c r="D36" s="39"/>
      <c r="E36" s="39"/>
      <c r="F36" s="39"/>
      <c r="G36" s="39"/>
      <c r="H36" s="39"/>
      <c r="I36" s="39"/>
      <c r="J36" s="39"/>
      <c r="K36" s="39"/>
      <c r="L36" s="39"/>
      <c r="M36" s="39"/>
    </row>
  </sheetData>
  <sheetProtection password="CC7C" sheet="1" objects="1" scenarios="1"/>
  <mergeCells count="2">
    <mergeCell ref="A2:M2"/>
    <mergeCell ref="A36:M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opLeftCell="A19" workbookViewId="0">
      <selection activeCell="A43" sqref="A43:L43"/>
    </sheetView>
  </sheetViews>
  <sheetFormatPr defaultRowHeight="15" x14ac:dyDescent="0.25"/>
  <cols>
    <col min="1" max="1" width="54.140625" customWidth="1"/>
    <col min="2" max="2" width="11.140625" bestFit="1" customWidth="1"/>
  </cols>
  <sheetData>
    <row r="1" spans="1:12" ht="15.75" x14ac:dyDescent="0.25">
      <c r="A1" s="34" t="s">
        <v>116</v>
      </c>
    </row>
    <row r="2" spans="1:12" s="29" customFormat="1" ht="31.5" customHeight="1" x14ac:dyDescent="0.25">
      <c r="A2" s="39" t="s">
        <v>104</v>
      </c>
      <c r="B2" s="39"/>
      <c r="C2" s="39"/>
      <c r="D2" s="39"/>
      <c r="E2" s="39"/>
      <c r="F2" s="39"/>
      <c r="G2" s="39"/>
      <c r="H2" s="39"/>
      <c r="I2" s="39"/>
      <c r="J2" s="39"/>
      <c r="K2" s="39"/>
      <c r="L2" s="39"/>
    </row>
    <row r="3" spans="1:12" x14ac:dyDescent="0.25">
      <c r="A3" t="s">
        <v>40</v>
      </c>
    </row>
    <row r="4" spans="1:12" x14ac:dyDescent="0.25">
      <c r="A4" s="6" t="s">
        <v>39</v>
      </c>
    </row>
    <row r="5" spans="1:12" x14ac:dyDescent="0.25">
      <c r="A5" s="5" t="s">
        <v>43</v>
      </c>
    </row>
    <row r="6" spans="1:12" x14ac:dyDescent="0.25">
      <c r="A6" t="s">
        <v>108</v>
      </c>
    </row>
    <row r="7" spans="1:12" x14ac:dyDescent="0.25">
      <c r="A7" s="17" t="s">
        <v>119</v>
      </c>
    </row>
    <row r="8" spans="1:12" x14ac:dyDescent="0.25">
      <c r="A8" s="1" t="s">
        <v>69</v>
      </c>
      <c r="B8" s="1" t="s">
        <v>121</v>
      </c>
      <c r="C8" s="36">
        <v>7.0000000000000007E-2</v>
      </c>
    </row>
    <row r="9" spans="1:12" x14ac:dyDescent="0.25">
      <c r="A9" s="1"/>
      <c r="B9" s="1" t="s">
        <v>122</v>
      </c>
      <c r="C9" s="36">
        <v>0.03</v>
      </c>
      <c r="D9" s="2" t="s">
        <v>120</v>
      </c>
    </row>
    <row r="10" spans="1:12" s="2" customFormat="1" x14ac:dyDescent="0.25">
      <c r="C10" s="38" t="e">
        <f ca="1">_xll.RiskOutput(,B8,1)+_xll.RiskLogistic(0.07,0.03)</f>
        <v>#NAME?</v>
      </c>
      <c r="D10" s="2" t="s">
        <v>131</v>
      </c>
    </row>
    <row r="11" spans="1:12" s="2" customFormat="1" x14ac:dyDescent="0.25">
      <c r="C11" s="18" t="e">
        <f ca="1">_xll.RiskOutput(,B8,2)+MAX(MIN(C10,0.5),0)</f>
        <v>#NAME?</v>
      </c>
      <c r="D11" t="s">
        <v>117</v>
      </c>
    </row>
    <row r="12" spans="1:12" x14ac:dyDescent="0.25">
      <c r="C12" s="23" t="s">
        <v>87</v>
      </c>
      <c r="D12" s="23" t="s">
        <v>88</v>
      </c>
      <c r="E12" s="23" t="s">
        <v>89</v>
      </c>
      <c r="F12" s="23" t="s">
        <v>90</v>
      </c>
      <c r="G12" s="23" t="s">
        <v>91</v>
      </c>
      <c r="H12" s="23" t="s">
        <v>92</v>
      </c>
      <c r="I12" s="23" t="s">
        <v>93</v>
      </c>
      <c r="J12" s="23" t="s">
        <v>94</v>
      </c>
      <c r="K12" s="23" t="s">
        <v>95</v>
      </c>
      <c r="L12" s="23" t="s">
        <v>96</v>
      </c>
    </row>
    <row r="13" spans="1:12" x14ac:dyDescent="0.25">
      <c r="A13" s="13" t="s">
        <v>62</v>
      </c>
      <c r="B13" s="13"/>
      <c r="C13" s="13"/>
      <c r="D13" s="13"/>
      <c r="E13" s="22"/>
      <c r="F13" s="22"/>
      <c r="G13" s="22"/>
      <c r="H13" s="22"/>
      <c r="I13" s="22"/>
      <c r="J13" s="22"/>
      <c r="K13" s="22"/>
      <c r="L13" s="22"/>
    </row>
    <row r="14" spans="1:12" x14ac:dyDescent="0.25">
      <c r="A14" s="1" t="s">
        <v>63</v>
      </c>
      <c r="B14" s="1" t="s">
        <v>65</v>
      </c>
      <c r="C14" s="36">
        <v>400</v>
      </c>
      <c r="D14" s="18" t="e">
        <f ca="1">C33</f>
        <v>#NAME?</v>
      </c>
      <c r="E14" s="18" t="e">
        <f t="shared" ref="E14:L14" ca="1" si="0">D33</f>
        <v>#NAME?</v>
      </c>
      <c r="F14" s="18" t="e">
        <f t="shared" ca="1" si="0"/>
        <v>#NAME?</v>
      </c>
      <c r="G14" s="18" t="e">
        <f t="shared" ca="1" si="0"/>
        <v>#NAME?</v>
      </c>
      <c r="H14" s="18" t="e">
        <f t="shared" ca="1" si="0"/>
        <v>#NAME?</v>
      </c>
      <c r="I14" s="18" t="e">
        <f t="shared" ca="1" si="0"/>
        <v>#NAME?</v>
      </c>
      <c r="J14" s="18" t="e">
        <f t="shared" ca="1" si="0"/>
        <v>#NAME?</v>
      </c>
      <c r="K14" s="18" t="e">
        <f t="shared" ca="1" si="0"/>
        <v>#NAME?</v>
      </c>
      <c r="L14" s="18" t="e">
        <f t="shared" ca="1" si="0"/>
        <v>#NAME?</v>
      </c>
    </row>
    <row r="15" spans="1:12" x14ac:dyDescent="0.25">
      <c r="A15" s="1" t="s">
        <v>51</v>
      </c>
      <c r="B15" s="1" t="s">
        <v>86</v>
      </c>
      <c r="C15" s="36">
        <v>10</v>
      </c>
      <c r="D15" s="18" t="e">
        <f ca="1">C35</f>
        <v>#NAME?</v>
      </c>
      <c r="E15" s="18" t="e">
        <f t="shared" ref="E15:L15" ca="1" si="1">D35</f>
        <v>#NAME?</v>
      </c>
      <c r="F15" s="18" t="e">
        <f t="shared" ca="1" si="1"/>
        <v>#NAME?</v>
      </c>
      <c r="G15" s="18" t="e">
        <f t="shared" ca="1" si="1"/>
        <v>#NAME?</v>
      </c>
      <c r="H15" s="18" t="e">
        <f t="shared" ca="1" si="1"/>
        <v>#NAME?</v>
      </c>
      <c r="I15" s="18" t="e">
        <f t="shared" ca="1" si="1"/>
        <v>#NAME?</v>
      </c>
      <c r="J15" s="18" t="e">
        <f t="shared" ca="1" si="1"/>
        <v>#NAME?</v>
      </c>
      <c r="K15" s="18" t="e">
        <f t="shared" ca="1" si="1"/>
        <v>#NAME?</v>
      </c>
      <c r="L15" s="18" t="e">
        <f t="shared" ca="1" si="1"/>
        <v>#NAME?</v>
      </c>
    </row>
    <row r="16" spans="1:12" x14ac:dyDescent="0.25">
      <c r="A16" s="1" t="s">
        <v>57</v>
      </c>
      <c r="B16" s="1" t="s">
        <v>56</v>
      </c>
      <c r="C16" s="36">
        <v>1000</v>
      </c>
      <c r="D16" s="18" t="e">
        <f ca="1">MAX(C16-C20,0)</f>
        <v>#NAME?</v>
      </c>
      <c r="E16" s="18" t="e">
        <f t="shared" ref="E16:L16" ca="1" si="2">MAX(D16-D20,0)</f>
        <v>#NAME?</v>
      </c>
      <c r="F16" s="18" t="e">
        <f t="shared" ca="1" si="2"/>
        <v>#NAME?</v>
      </c>
      <c r="G16" s="18" t="e">
        <f t="shared" ca="1" si="2"/>
        <v>#NAME?</v>
      </c>
      <c r="H16" s="18" t="e">
        <f t="shared" ca="1" si="2"/>
        <v>#NAME?</v>
      </c>
      <c r="I16" s="18" t="e">
        <f t="shared" ca="1" si="2"/>
        <v>#NAME?</v>
      </c>
      <c r="J16" s="18" t="e">
        <f t="shared" ca="1" si="2"/>
        <v>#NAME?</v>
      </c>
      <c r="K16" s="18" t="e">
        <f t="shared" ca="1" si="2"/>
        <v>#NAME?</v>
      </c>
      <c r="L16" s="18" t="e">
        <f t="shared" ca="1" si="2"/>
        <v>#NAME?</v>
      </c>
    </row>
    <row r="17" spans="1:12" x14ac:dyDescent="0.25">
      <c r="A17" s="1" t="s">
        <v>58</v>
      </c>
      <c r="B17" s="1" t="s">
        <v>59</v>
      </c>
      <c r="C17" s="36">
        <v>200</v>
      </c>
      <c r="D17" s="18">
        <f>C17-C19</f>
        <v>190</v>
      </c>
      <c r="E17" s="18">
        <f t="shared" ref="E17:L17" si="3">D17-D19</f>
        <v>180</v>
      </c>
      <c r="F17" s="18">
        <f t="shared" si="3"/>
        <v>170</v>
      </c>
      <c r="G17" s="18">
        <f t="shared" si="3"/>
        <v>160</v>
      </c>
      <c r="H17" s="18">
        <f t="shared" si="3"/>
        <v>150</v>
      </c>
      <c r="I17" s="18">
        <f t="shared" si="3"/>
        <v>140</v>
      </c>
      <c r="J17" s="18">
        <f t="shared" si="3"/>
        <v>130</v>
      </c>
      <c r="K17" s="18">
        <f t="shared" si="3"/>
        <v>120</v>
      </c>
      <c r="L17" s="18">
        <f t="shared" si="3"/>
        <v>110</v>
      </c>
    </row>
    <row r="18" spans="1:12" x14ac:dyDescent="0.25">
      <c r="A18" s="1" t="s">
        <v>60</v>
      </c>
      <c r="B18" s="1" t="s">
        <v>61</v>
      </c>
      <c r="C18" s="36">
        <v>10</v>
      </c>
      <c r="D18" s="36">
        <f t="shared" ref="D18:K18" si="4">C18</f>
        <v>10</v>
      </c>
      <c r="E18" s="36">
        <f t="shared" si="4"/>
        <v>10</v>
      </c>
      <c r="F18" s="36">
        <f t="shared" si="4"/>
        <v>10</v>
      </c>
      <c r="G18" s="36">
        <f t="shared" si="4"/>
        <v>10</v>
      </c>
      <c r="H18" s="36">
        <f t="shared" si="4"/>
        <v>10</v>
      </c>
      <c r="I18" s="36">
        <f t="shared" si="4"/>
        <v>10</v>
      </c>
      <c r="J18" s="36">
        <f t="shared" si="4"/>
        <v>10</v>
      </c>
      <c r="K18" s="36">
        <f t="shared" si="4"/>
        <v>10</v>
      </c>
      <c r="L18" s="36">
        <f>K18</f>
        <v>10</v>
      </c>
    </row>
    <row r="19" spans="1:12" s="2" customFormat="1" x14ac:dyDescent="0.25">
      <c r="A19" s="18" t="s">
        <v>126</v>
      </c>
      <c r="B19" s="18" t="s">
        <v>127</v>
      </c>
      <c r="C19" s="18">
        <f>MIN(C17,C18)</f>
        <v>10</v>
      </c>
      <c r="D19" s="18">
        <f t="shared" ref="D19:L19" si="5">MIN(D17,D18)</f>
        <v>10</v>
      </c>
      <c r="E19" s="18">
        <f t="shared" si="5"/>
        <v>10</v>
      </c>
      <c r="F19" s="18">
        <f t="shared" si="5"/>
        <v>10</v>
      </c>
      <c r="G19" s="18">
        <f t="shared" si="5"/>
        <v>10</v>
      </c>
      <c r="H19" s="18">
        <f t="shared" si="5"/>
        <v>10</v>
      </c>
      <c r="I19" s="18">
        <f t="shared" si="5"/>
        <v>10</v>
      </c>
      <c r="J19" s="18">
        <f t="shared" si="5"/>
        <v>10</v>
      </c>
      <c r="K19" s="18">
        <f t="shared" si="5"/>
        <v>10</v>
      </c>
      <c r="L19" s="18">
        <f t="shared" si="5"/>
        <v>10</v>
      </c>
    </row>
    <row r="20" spans="1:12" x14ac:dyDescent="0.25">
      <c r="A20" s="18" t="s">
        <v>53</v>
      </c>
      <c r="B20" s="18" t="s">
        <v>54</v>
      </c>
      <c r="C20" s="18" t="e">
        <f ca="1">_xll.RiskBinomial(C16,C19/C17)</f>
        <v>#NAME?</v>
      </c>
      <c r="D20" s="18" t="e">
        <f ca="1">_xll.RiskBinomial(D16,D19/D17)</f>
        <v>#NAME?</v>
      </c>
      <c r="E20" s="18" t="e">
        <f ca="1">_xll.RiskBinomial(E16,E19/E17)</f>
        <v>#NAME?</v>
      </c>
      <c r="F20" s="18" t="e">
        <f ca="1">_xll.RiskBinomial(F16,F19/F17)</f>
        <v>#NAME?</v>
      </c>
      <c r="G20" s="18" t="e">
        <f ca="1">_xll.RiskBinomial(G16,G19/G17)</f>
        <v>#NAME?</v>
      </c>
      <c r="H20" s="18" t="e">
        <f ca="1">_xll.RiskBinomial(H16,H19/H17)</f>
        <v>#NAME?</v>
      </c>
      <c r="I20" s="18" t="e">
        <f ca="1">_xll.RiskBinomial(I16,I19/I17)</f>
        <v>#NAME?</v>
      </c>
      <c r="J20" s="18" t="e">
        <f ca="1">_xll.RiskBinomial(J16,J19/J17)</f>
        <v>#NAME?</v>
      </c>
      <c r="K20" s="18" t="e">
        <f ca="1">_xll.RiskBinomial(K16,K19/K17)</f>
        <v>#NAME?</v>
      </c>
      <c r="L20" s="18" t="e">
        <f ca="1">_xll.RiskBinomial(L16,L19/L17)</f>
        <v>#NAME?</v>
      </c>
    </row>
    <row r="21" spans="1:12" x14ac:dyDescent="0.25">
      <c r="A21" s="18" t="s">
        <v>64</v>
      </c>
      <c r="B21" s="18" t="s">
        <v>55</v>
      </c>
      <c r="C21" s="18" t="e">
        <f ca="1">C15+C20</f>
        <v>#NAME?</v>
      </c>
      <c r="D21" s="18" t="e">
        <f t="shared" ref="D21:L21" ca="1" si="6">D15+D20</f>
        <v>#NAME?</v>
      </c>
      <c r="E21" s="18" t="e">
        <f t="shared" ca="1" si="6"/>
        <v>#NAME?</v>
      </c>
      <c r="F21" s="18" t="e">
        <f t="shared" ca="1" si="6"/>
        <v>#NAME?</v>
      </c>
      <c r="G21" s="18" t="e">
        <f t="shared" ca="1" si="6"/>
        <v>#NAME?</v>
      </c>
      <c r="H21" s="18" t="e">
        <f t="shared" ca="1" si="6"/>
        <v>#NAME?</v>
      </c>
      <c r="I21" s="18" t="e">
        <f t="shared" ca="1" si="6"/>
        <v>#NAME?</v>
      </c>
      <c r="J21" s="18" t="e">
        <f t="shared" ca="1" si="6"/>
        <v>#NAME?</v>
      </c>
      <c r="K21" s="18" t="e">
        <f t="shared" ca="1" si="6"/>
        <v>#NAME?</v>
      </c>
      <c r="L21" s="18" t="e">
        <f t="shared" ca="1" si="6"/>
        <v>#NAME?</v>
      </c>
    </row>
    <row r="22" spans="1:12" x14ac:dyDescent="0.25">
      <c r="A22" s="2"/>
      <c r="B22" s="2"/>
    </row>
    <row r="23" spans="1:12" x14ac:dyDescent="0.25">
      <c r="A23" s="13" t="s">
        <v>66</v>
      </c>
      <c r="B23" s="22"/>
      <c r="C23" s="22"/>
      <c r="D23" s="22"/>
      <c r="E23" s="13"/>
      <c r="F23" s="13"/>
      <c r="G23" s="13"/>
      <c r="H23" s="13"/>
      <c r="I23" s="13"/>
      <c r="J23" s="13"/>
      <c r="K23" s="13"/>
      <c r="L23" s="13"/>
    </row>
    <row r="24" spans="1:12" x14ac:dyDescent="0.25">
      <c r="A24" s="18" t="s">
        <v>67</v>
      </c>
      <c r="B24" s="18" t="s">
        <v>68</v>
      </c>
      <c r="C24" s="18" t="e">
        <f ca="1">_xll.RiskBinomial(C21,aa)</f>
        <v>#NAME?</v>
      </c>
      <c r="D24" s="18" t="e">
        <f ca="1">_xll.RiskBinomial(D21,aa)</f>
        <v>#NAME?</v>
      </c>
      <c r="E24" s="18" t="e">
        <f ca="1">_xll.RiskBinomial(E21,aa)</f>
        <v>#NAME?</v>
      </c>
      <c r="F24" s="18" t="e">
        <f ca="1">_xll.RiskBinomial(F21,aa)</f>
        <v>#NAME?</v>
      </c>
      <c r="G24" s="18" t="e">
        <f ca="1">_xll.RiskBinomial(G21,aa)</f>
        <v>#NAME?</v>
      </c>
      <c r="H24" s="18" t="e">
        <f ca="1">_xll.RiskBinomial(H21,aa)</f>
        <v>#NAME?</v>
      </c>
      <c r="I24" s="18" t="e">
        <f ca="1">_xll.RiskBinomial(I21,aa)</f>
        <v>#NAME?</v>
      </c>
      <c r="J24" s="18" t="e">
        <f ca="1">_xll.RiskBinomial(J21,aa)</f>
        <v>#NAME?</v>
      </c>
      <c r="K24" s="18" t="e">
        <f ca="1">_xll.RiskBinomial(K21,aa)</f>
        <v>#NAME?</v>
      </c>
      <c r="L24" s="18" t="e">
        <f ca="1">_xll.RiskBinomial(L21,aa)</f>
        <v>#NAME?</v>
      </c>
    </row>
    <row r="25" spans="1:12" x14ac:dyDescent="0.25">
      <c r="A25" s="18" t="s">
        <v>70</v>
      </c>
      <c r="B25" s="18" t="s">
        <v>71</v>
      </c>
      <c r="C25" s="18" t="e">
        <f ca="1">MAX(C21-C24,0)</f>
        <v>#NAME?</v>
      </c>
      <c r="D25" s="18" t="e">
        <f t="shared" ref="D25:L25" ca="1" si="7">MAX(D21-D24,0)</f>
        <v>#NAME?</v>
      </c>
      <c r="E25" s="18" t="e">
        <f t="shared" ca="1" si="7"/>
        <v>#NAME?</v>
      </c>
      <c r="F25" s="18" t="e">
        <f t="shared" ca="1" si="7"/>
        <v>#NAME?</v>
      </c>
      <c r="G25" s="18" t="e">
        <f t="shared" ca="1" si="7"/>
        <v>#NAME?</v>
      </c>
      <c r="H25" s="18" t="e">
        <f t="shared" ca="1" si="7"/>
        <v>#NAME?</v>
      </c>
      <c r="I25" s="18" t="e">
        <f t="shared" ca="1" si="7"/>
        <v>#NAME?</v>
      </c>
      <c r="J25" s="18" t="e">
        <f t="shared" ca="1" si="7"/>
        <v>#NAME?</v>
      </c>
      <c r="K25" s="18" t="e">
        <f t="shared" ca="1" si="7"/>
        <v>#NAME?</v>
      </c>
      <c r="L25" s="18" t="e">
        <f t="shared" ca="1" si="7"/>
        <v>#NAME?</v>
      </c>
    </row>
    <row r="27" spans="1:12" x14ac:dyDescent="0.25">
      <c r="A27" s="13" t="s">
        <v>72</v>
      </c>
      <c r="B27" s="13"/>
      <c r="C27" s="13"/>
      <c r="D27" s="13"/>
      <c r="E27" s="13"/>
      <c r="F27" s="13"/>
      <c r="G27" s="13"/>
      <c r="H27" s="13"/>
      <c r="I27" s="13"/>
      <c r="J27" s="13"/>
      <c r="K27" s="13"/>
      <c r="L27" s="13"/>
    </row>
    <row r="28" spans="1:12" x14ac:dyDescent="0.25">
      <c r="A28" s="18" t="s">
        <v>73</v>
      </c>
      <c r="B28" s="18" t="s">
        <v>74</v>
      </c>
      <c r="C28" s="18" t="e">
        <f ca="1">_xll.RiskBinomial(C14,1-(2*aa))</f>
        <v>#NAME?</v>
      </c>
      <c r="D28" s="18" t="e">
        <f ca="1">_xll.RiskBinomial(D14,1-(2*aa))</f>
        <v>#NAME?</v>
      </c>
      <c r="E28" s="18" t="e">
        <f ca="1">_xll.RiskBinomial(E14,1-(2*aa))</f>
        <v>#NAME?</v>
      </c>
      <c r="F28" s="18" t="e">
        <f ca="1">_xll.RiskBinomial(F14,1-(2*aa))</f>
        <v>#NAME?</v>
      </c>
      <c r="G28" s="18" t="e">
        <f ca="1">_xll.RiskBinomial(G14,1-(2*aa))</f>
        <v>#NAME?</v>
      </c>
      <c r="H28" s="18" t="e">
        <f ca="1">_xll.RiskBinomial(H14,1-(2*aa))</f>
        <v>#NAME?</v>
      </c>
      <c r="I28" s="18" t="e">
        <f ca="1">_xll.RiskBinomial(I14,1-(2*aa))</f>
        <v>#NAME?</v>
      </c>
      <c r="J28" s="18" t="e">
        <f ca="1">_xll.RiskBinomial(J14,1-(2*aa))</f>
        <v>#NAME?</v>
      </c>
      <c r="K28" s="18" t="e">
        <f ca="1">_xll.RiskBinomial(K14,1-(2*aa))</f>
        <v>#NAME?</v>
      </c>
      <c r="L28" s="18" t="e">
        <f ca="1">_xll.RiskBinomial(L14,1-(2*aa))</f>
        <v>#NAME?</v>
      </c>
    </row>
    <row r="29" spans="1:12" x14ac:dyDescent="0.25">
      <c r="A29" s="18" t="s">
        <v>75</v>
      </c>
      <c r="B29" s="18" t="s">
        <v>52</v>
      </c>
      <c r="C29" s="18" t="e">
        <f ca="1">_xll.RiskBinomial((MAX(C14-C28,0)),0.5)</f>
        <v>#NAME?</v>
      </c>
      <c r="D29" s="18" t="e">
        <f ca="1">_xll.RiskBinomial((MAX(D14-D28,0)),0.5)</f>
        <v>#NAME?</v>
      </c>
      <c r="E29" s="18" t="e">
        <f ca="1">_xll.RiskBinomial((MAX(E14-E28,0)),0.5)</f>
        <v>#NAME?</v>
      </c>
      <c r="F29" s="18" t="e">
        <f ca="1">_xll.RiskBinomial((MAX(F14-F28,0)),0.5)</f>
        <v>#NAME?</v>
      </c>
      <c r="G29" s="18" t="e">
        <f ca="1">_xll.RiskBinomial((MAX(G14-G28,0)),0.5)</f>
        <v>#NAME?</v>
      </c>
      <c r="H29" s="18" t="e">
        <f ca="1">_xll.RiskBinomial((MAX(H14-H28,0)),0.5)</f>
        <v>#NAME?</v>
      </c>
      <c r="I29" s="18" t="e">
        <f ca="1">_xll.RiskBinomial((MAX(I14-I28,0)),0.5)</f>
        <v>#NAME?</v>
      </c>
      <c r="J29" s="18" t="e">
        <f ca="1">_xll.RiskBinomial((MAX(J14-J28,0)),0.5)</f>
        <v>#NAME?</v>
      </c>
      <c r="K29" s="18" t="e">
        <f ca="1">_xll.RiskBinomial((MAX(K14-K28,0)),0.5)</f>
        <v>#NAME?</v>
      </c>
      <c r="L29" s="18" t="e">
        <f ca="1">_xll.RiskBinomial((MAX(L14-L28,0)),0.5)</f>
        <v>#NAME?</v>
      </c>
    </row>
    <row r="30" spans="1:12" x14ac:dyDescent="0.25">
      <c r="A30" s="18" t="s">
        <v>76</v>
      </c>
      <c r="B30" s="18" t="s">
        <v>77</v>
      </c>
      <c r="C30" s="18" t="e">
        <f ca="1">MAX(C14-C28-C29,0)</f>
        <v>#NAME?</v>
      </c>
      <c r="D30" s="18" t="e">
        <f t="shared" ref="D30:L30" ca="1" si="8">MAX(D14-D28-D29,0)</f>
        <v>#NAME?</v>
      </c>
      <c r="E30" s="18" t="e">
        <f t="shared" ca="1" si="8"/>
        <v>#NAME?</v>
      </c>
      <c r="F30" s="18" t="e">
        <f t="shared" ca="1" si="8"/>
        <v>#NAME?</v>
      </c>
      <c r="G30" s="18" t="e">
        <f t="shared" ca="1" si="8"/>
        <v>#NAME?</v>
      </c>
      <c r="H30" s="18" t="e">
        <f t="shared" ca="1" si="8"/>
        <v>#NAME?</v>
      </c>
      <c r="I30" s="18" t="e">
        <f t="shared" ca="1" si="8"/>
        <v>#NAME?</v>
      </c>
      <c r="J30" s="18" t="e">
        <f t="shared" ca="1" si="8"/>
        <v>#NAME?</v>
      </c>
      <c r="K30" s="18" t="e">
        <f t="shared" ca="1" si="8"/>
        <v>#NAME?</v>
      </c>
      <c r="L30" s="18" t="e">
        <f t="shared" ca="1" si="8"/>
        <v>#NAME?</v>
      </c>
    </row>
    <row r="32" spans="1:12" x14ac:dyDescent="0.25">
      <c r="A32" s="20" t="s">
        <v>78</v>
      </c>
      <c r="B32" s="13"/>
      <c r="C32" s="13"/>
      <c r="D32" s="13"/>
      <c r="E32" s="13"/>
      <c r="F32" s="13"/>
      <c r="G32" s="13"/>
      <c r="H32" s="13"/>
      <c r="I32" s="13"/>
      <c r="J32" s="13"/>
      <c r="K32" s="13"/>
      <c r="L32" s="13"/>
    </row>
    <row r="33" spans="1:13" x14ac:dyDescent="0.25">
      <c r="A33" s="21" t="s">
        <v>82</v>
      </c>
      <c r="B33" s="21" t="s">
        <v>79</v>
      </c>
      <c r="C33" s="19" t="e">
        <f ca="1">_xll.RiskOutput(,C12,1)+IF(C19=0,B33,C28+C24)</f>
        <v>#NAME?</v>
      </c>
      <c r="D33" s="19" t="e">
        <f ca="1">_xll.RiskOutput(,D12,1)+IF(D19=0,C33,D28+D24)</f>
        <v>#NAME?</v>
      </c>
      <c r="E33" s="19" t="e">
        <f ca="1">_xll.RiskOutput(,E12,1)+IF(E19=0,D33,E28+E24)</f>
        <v>#NAME?</v>
      </c>
      <c r="F33" s="19" t="e">
        <f ca="1">_xll.RiskOutput(,F12,1)+IF(F19=0,E33,F28+F24)</f>
        <v>#NAME?</v>
      </c>
      <c r="G33" s="19" t="e">
        <f ca="1">_xll.RiskOutput(,G12,1)+IF(G19=0,F33,G28+G24)</f>
        <v>#NAME?</v>
      </c>
      <c r="H33" s="19" t="e">
        <f ca="1">_xll.RiskOutput(,H12,1)+IF(H19=0,G33,H28+H24)</f>
        <v>#NAME?</v>
      </c>
      <c r="I33" s="19" t="e">
        <f ca="1">_xll.RiskOutput(,I12,1)+IF(I19=0,H33,I28+I24)</f>
        <v>#NAME?</v>
      </c>
      <c r="J33" s="19" t="e">
        <f ca="1">_xll.RiskOutput(,J12,1)+IF(J19=0,I33,J28+J24)</f>
        <v>#NAME?</v>
      </c>
      <c r="K33" s="19" t="e">
        <f ca="1">_xll.RiskOutput(,K12,1)+IF(K19=0,J33,K28+K24)</f>
        <v>#NAME?</v>
      </c>
      <c r="L33" s="19" t="e">
        <f ca="1">_xll.RiskOutput(,L12,1)+IF(L19=0,K33,L28+L24)</f>
        <v>#NAME?</v>
      </c>
    </row>
    <row r="34" spans="1:13" x14ac:dyDescent="0.25">
      <c r="A34" s="21" t="s">
        <v>80</v>
      </c>
      <c r="B34" s="21" t="s">
        <v>81</v>
      </c>
      <c r="C34" s="19" t="e">
        <f ca="1">_xll.RiskOutput(,C12,2)+IF(C19=0,0,C25+C30)</f>
        <v>#NAME?</v>
      </c>
      <c r="D34" s="19" t="e">
        <f ca="1">_xll.RiskOutput(,D12,2)+IF(D19=0,0,D25+D30)</f>
        <v>#NAME?</v>
      </c>
      <c r="E34" s="19" t="e">
        <f ca="1">_xll.RiskOutput(,E12,2)+IF(E19=0,0,E25+E30)</f>
        <v>#NAME?</v>
      </c>
      <c r="F34" s="19" t="e">
        <f ca="1">_xll.RiskOutput(,F12,2)+IF(F19=0,0,F25+F30)</f>
        <v>#NAME?</v>
      </c>
      <c r="G34" s="19" t="e">
        <f ca="1">_xll.RiskOutput(,G12,2)+IF(G19=0,0,G25+G30)</f>
        <v>#NAME?</v>
      </c>
      <c r="H34" s="19" t="e">
        <f ca="1">_xll.RiskOutput(,H12,2)+IF(H19=0,0,H25+H30)</f>
        <v>#NAME?</v>
      </c>
      <c r="I34" s="19" t="e">
        <f ca="1">_xll.RiskOutput(,I12,2)+IF(I19=0,0,I25+I30)</f>
        <v>#NAME?</v>
      </c>
      <c r="J34" s="19" t="e">
        <f ca="1">_xll.RiskOutput(,J12,2)+IF(J19=0,0,J25+J30)</f>
        <v>#NAME?</v>
      </c>
      <c r="K34" s="19" t="e">
        <f ca="1">_xll.RiskOutput(,K12,2)+IF(K19=0,0,K25+K30)</f>
        <v>#NAME?</v>
      </c>
      <c r="L34" s="19" t="e">
        <f ca="1">_xll.RiskOutput(,L12,2)+IF(L19=0,0,L25+L30)</f>
        <v>#NAME?</v>
      </c>
    </row>
    <row r="35" spans="1:13" x14ac:dyDescent="0.25">
      <c r="A35" s="5" t="s">
        <v>83</v>
      </c>
      <c r="B35" s="5" t="s">
        <v>52</v>
      </c>
      <c r="C35" s="19" t="e">
        <f ca="1">_xll.RiskOutput(,C12,3)+IF(C19=0,B35,C29)</f>
        <v>#NAME?</v>
      </c>
      <c r="D35" s="19" t="e">
        <f ca="1">_xll.RiskOutput(,D12,3)+IF(D19=0,C35,D29)</f>
        <v>#NAME?</v>
      </c>
      <c r="E35" s="19" t="e">
        <f ca="1">_xll.RiskOutput(,E12,3)+IF(E19=0,D35,E29)</f>
        <v>#NAME?</v>
      </c>
      <c r="F35" s="19" t="e">
        <f ca="1">_xll.RiskOutput(,F12,3)+IF(F19=0,E35,F29)</f>
        <v>#NAME?</v>
      </c>
      <c r="G35" s="19" t="e">
        <f ca="1">_xll.RiskOutput(,G12,3)+IF(G19=0,F35,G29)</f>
        <v>#NAME?</v>
      </c>
      <c r="H35" s="19" t="e">
        <f ca="1">_xll.RiskOutput(,H12,3)+IF(H19=0,G35,H29)</f>
        <v>#NAME?</v>
      </c>
      <c r="I35" s="19" t="e">
        <f ca="1">_xll.RiskOutput(,I12,3)+IF(I19=0,H35,I29)</f>
        <v>#NAME?</v>
      </c>
      <c r="J35" s="19" t="e">
        <f ca="1">_xll.RiskOutput(,J12,3)+IF(J19=0,I35,J29)</f>
        <v>#NAME?</v>
      </c>
      <c r="K35" s="19" t="e">
        <f ca="1">_xll.RiskOutput(,K12,3)+IF(K19=0,J35,K29)</f>
        <v>#NAME?</v>
      </c>
      <c r="L35" s="19" t="e">
        <f ca="1">_xll.RiskOutput(,L12,3)+IF(L19=0,K35,L29)</f>
        <v>#NAME?</v>
      </c>
    </row>
    <row r="36" spans="1:13" x14ac:dyDescent="0.25">
      <c r="A36" s="5" t="s">
        <v>84</v>
      </c>
      <c r="B36" s="5" t="s">
        <v>85</v>
      </c>
      <c r="C36" s="19" t="e">
        <f ca="1">_xll.RiskOutput(,C12,4)+IF(C19=0,B36,C16-C20)</f>
        <v>#NAME?</v>
      </c>
      <c r="D36" s="19" t="e">
        <f ca="1">_xll.RiskOutput(,D12,4)+IF(D19=0,C36,D16-D20)</f>
        <v>#NAME?</v>
      </c>
      <c r="E36" s="19" t="e">
        <f ca="1">_xll.RiskOutput(,E12,4)+IF(E19=0,D36,E16-E20)</f>
        <v>#NAME?</v>
      </c>
      <c r="F36" s="19" t="e">
        <f ca="1">_xll.RiskOutput(,F12,4)+IF(F19=0,E36,F16-F20)</f>
        <v>#NAME?</v>
      </c>
      <c r="G36" s="19" t="e">
        <f ca="1">_xll.RiskOutput(,G12,4)+IF(G19=0,F36,G16-G20)</f>
        <v>#NAME?</v>
      </c>
      <c r="H36" s="19" t="e">
        <f ca="1">_xll.RiskOutput(,H12,4)+IF(H19=0,G36,H16-H20)</f>
        <v>#NAME?</v>
      </c>
      <c r="I36" s="19" t="e">
        <f ca="1">_xll.RiskOutput(,I12,4)+IF(I19=0,H36,I16-I20)</f>
        <v>#NAME?</v>
      </c>
      <c r="J36" s="19" t="e">
        <f ca="1">_xll.RiskOutput(,J12,4)+IF(J19=0,I36,J16-J20)</f>
        <v>#NAME?</v>
      </c>
      <c r="K36" s="19" t="e">
        <f ca="1">_xll.RiskOutput(,K12,4)+IF(K19=0,J36,K16-K20)</f>
        <v>#NAME?</v>
      </c>
      <c r="L36" s="19" t="e">
        <f ca="1">_xll.RiskOutput(,L12,4)+IF(L19=0,K36,L16-L20)</f>
        <v>#NAME?</v>
      </c>
    </row>
    <row r="38" spans="1:13" x14ac:dyDescent="0.25">
      <c r="B38" s="2"/>
      <c r="C38" s="33" t="s">
        <v>128</v>
      </c>
      <c r="D38" s="24"/>
      <c r="E38" s="24"/>
      <c r="F38" s="24"/>
      <c r="G38" s="24"/>
      <c r="H38" s="24"/>
      <c r="I38" s="24"/>
      <c r="J38" s="24"/>
      <c r="K38" s="24"/>
      <c r="L38" s="24"/>
    </row>
    <row r="39" spans="1:13" x14ac:dyDescent="0.25">
      <c r="C39" s="24" t="e">
        <f ca="1">SUM($C$14:$C$16)-C33-C35-C36-SUM($C$34:C34)</f>
        <v>#NAME?</v>
      </c>
      <c r="D39" s="24" t="e">
        <f ca="1">SUM($C$14:$C$16)-D33-D35-D36-SUM($C$34:D34)</f>
        <v>#NAME?</v>
      </c>
      <c r="E39" s="24" t="e">
        <f ca="1">SUM($C$14:$C$16)-E33-E35-E36-SUM($C$34:E34)</f>
        <v>#NAME?</v>
      </c>
      <c r="F39" s="24" t="e">
        <f ca="1">SUM($C$14:$C$16)-F33-F35-F36-SUM($C$34:F34)</f>
        <v>#NAME?</v>
      </c>
      <c r="G39" s="24" t="e">
        <f ca="1">SUM($C$14:$C$16)-G33-G35-G36-SUM($C$34:G34)</f>
        <v>#NAME?</v>
      </c>
      <c r="H39" s="24" t="e">
        <f ca="1">SUM($C$14:$C$16)-H33-H35-H36-SUM($C$34:H34)</f>
        <v>#NAME?</v>
      </c>
      <c r="I39" s="24" t="e">
        <f ca="1">SUM($C$14:$C$16)-I33-I35-I36-SUM($C$34:I34)</f>
        <v>#NAME?</v>
      </c>
      <c r="J39" s="24" t="e">
        <f ca="1">SUM($C$14:$C$16)-J33-J35-J36-SUM($C$34:J34)</f>
        <v>#NAME?</v>
      </c>
      <c r="K39" s="24" t="e">
        <f ca="1">SUM($C$14:$C$16)-K33-K35-K36-SUM($C$34:K34)</f>
        <v>#NAME?</v>
      </c>
      <c r="L39" s="24" t="e">
        <f ca="1">SUM($C$14:$C$16)-L33-L35-L36-SUM($C$34:L34)</f>
        <v>#NAME?</v>
      </c>
    </row>
    <row r="40" spans="1:13" x14ac:dyDescent="0.25">
      <c r="C40" s="24" t="s">
        <v>129</v>
      </c>
      <c r="D40" s="24"/>
      <c r="E40" s="24"/>
      <c r="F40" s="24"/>
      <c r="G40" s="24"/>
      <c r="H40" s="24"/>
      <c r="I40" s="24"/>
      <c r="J40" s="24"/>
      <c r="K40" s="24"/>
      <c r="L40" s="24"/>
    </row>
    <row r="41" spans="1:13" x14ac:dyDescent="0.25">
      <c r="C41" s="24">
        <f>$C$17-C17</f>
        <v>0</v>
      </c>
      <c r="D41" s="24">
        <f>$C$17-D17-SUM($C$19:C19)</f>
        <v>0</v>
      </c>
      <c r="E41" s="24">
        <f>$C$17-E17-SUM($C$19:D19)</f>
        <v>0</v>
      </c>
      <c r="F41" s="24">
        <f>$C$17-F17-SUM($C$19:E19)</f>
        <v>0</v>
      </c>
      <c r="G41" s="24">
        <f>$C$17-G17-SUM($C$19:F19)</f>
        <v>0</v>
      </c>
      <c r="H41" s="24">
        <f>$C$17-H17-SUM($C$19:G19)</f>
        <v>0</v>
      </c>
      <c r="I41" s="24">
        <f>$C$17-I17-SUM($C$19:H19)</f>
        <v>0</v>
      </c>
      <c r="J41" s="24">
        <f>$C$17-J17-SUM($C$19:I19)</f>
        <v>0</v>
      </c>
      <c r="K41" s="24">
        <f>$C$17-K17-SUM($C$19:J19)</f>
        <v>0</v>
      </c>
      <c r="L41" s="24">
        <f>$C$17-L17-SUM($C$19:K19)</f>
        <v>0</v>
      </c>
    </row>
    <row r="42" spans="1:13" ht="15.75" x14ac:dyDescent="0.25">
      <c r="A42" s="34" t="s">
        <v>109</v>
      </c>
    </row>
    <row r="43" spans="1:13" s="35" customFormat="1" ht="134.25" customHeight="1" x14ac:dyDescent="0.25">
      <c r="A43" s="39" t="s">
        <v>134</v>
      </c>
      <c r="B43" s="39"/>
      <c r="C43" s="39"/>
      <c r="D43" s="39"/>
      <c r="E43" s="39"/>
      <c r="F43" s="39"/>
      <c r="G43" s="39"/>
      <c r="H43" s="39"/>
      <c r="I43" s="39"/>
      <c r="J43" s="39"/>
      <c r="K43" s="39"/>
      <c r="L43" s="39"/>
      <c r="M43" s="28"/>
    </row>
  </sheetData>
  <sheetProtection password="CC7C" sheet="1" objects="1" scenarios="1"/>
  <mergeCells count="2">
    <mergeCell ref="A2:L2"/>
    <mergeCell ref="A43:L4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workbookViewId="0"/>
  </sheetViews>
  <sheetFormatPr defaultRowHeight="15" x14ac:dyDescent="0.25"/>
  <sheetData>
    <row r="1" spans="1:40" x14ac:dyDescent="0.25">
      <c r="A1">
        <v>4</v>
      </c>
      <c r="B1">
        <v>0</v>
      </c>
    </row>
    <row r="2" spans="1:40" x14ac:dyDescent="0.25">
      <c r="A2">
        <v>0</v>
      </c>
    </row>
    <row r="3" spans="1:40" x14ac:dyDescent="0.25">
      <c r="A3" t="e">
        <f ca="1">slicer_model!$C$10</f>
        <v>#NAME?</v>
      </c>
      <c r="B3" t="b">
        <v>1</v>
      </c>
      <c r="C3">
        <v>0</v>
      </c>
      <c r="D3">
        <v>1</v>
      </c>
      <c r="E3" t="s">
        <v>97</v>
      </c>
      <c r="F3">
        <v>1</v>
      </c>
      <c r="G3">
        <v>0</v>
      </c>
      <c r="H3">
        <v>0</v>
      </c>
      <c r="J3" t="s">
        <v>98</v>
      </c>
      <c r="K3" t="s">
        <v>99</v>
      </c>
      <c r="L3" t="s">
        <v>100</v>
      </c>
      <c r="AG3" t="e">
        <f ca="1">slicer_model!$C$10</f>
        <v>#NAME?</v>
      </c>
      <c r="AH3">
        <v>1</v>
      </c>
      <c r="AI3">
        <v>1</v>
      </c>
      <c r="AJ3" t="b">
        <v>0</v>
      </c>
      <c r="AK3" t="b">
        <v>1</v>
      </c>
      <c r="AL3">
        <v>0</v>
      </c>
      <c r="AM3" t="b">
        <v>0</v>
      </c>
      <c r="AN3" t="e">
        <f>_</f>
        <v>#NAME?</v>
      </c>
    </row>
    <row r="4" spans="1:40" x14ac:dyDescent="0.25">
      <c r="A4" s="25" t="e">
        <f ca="1">transfer_model!$F$19</f>
        <v>#NAME?</v>
      </c>
      <c r="B4" t="b">
        <v>1</v>
      </c>
      <c r="C4">
        <v>0</v>
      </c>
      <c r="D4">
        <v>1</v>
      </c>
      <c r="E4" t="s">
        <v>101</v>
      </c>
      <c r="F4">
        <v>1</v>
      </c>
      <c r="G4">
        <v>0</v>
      </c>
      <c r="H4">
        <v>0</v>
      </c>
      <c r="J4" t="s">
        <v>98</v>
      </c>
      <c r="K4" t="s">
        <v>99</v>
      </c>
      <c r="L4" t="s">
        <v>100</v>
      </c>
      <c r="AG4" s="25" t="e">
        <f ca="1">transfer_model!$F$19</f>
        <v>#NAME?</v>
      </c>
      <c r="AH4">
        <v>4</v>
      </c>
      <c r="AI4">
        <v>1</v>
      </c>
      <c r="AJ4" t="b">
        <v>0</v>
      </c>
      <c r="AK4" t="b">
        <v>1</v>
      </c>
      <c r="AL4">
        <v>0</v>
      </c>
      <c r="AM4" t="b">
        <v>0</v>
      </c>
      <c r="AN4" t="e">
        <f>_</f>
        <v>#NAME?</v>
      </c>
    </row>
    <row r="5" spans="1:40" x14ac:dyDescent="0.25">
      <c r="A5" t="e">
        <f ca="1">multiple_transfer_model!$D$33</f>
        <v>#NAME?</v>
      </c>
      <c r="B5" t="b">
        <v>1</v>
      </c>
      <c r="C5">
        <v>0</v>
      </c>
      <c r="D5">
        <v>1</v>
      </c>
      <c r="E5" t="s">
        <v>102</v>
      </c>
      <c r="F5">
        <v>1</v>
      </c>
      <c r="G5">
        <v>0</v>
      </c>
      <c r="H5">
        <v>0</v>
      </c>
      <c r="J5" t="s">
        <v>98</v>
      </c>
      <c r="K5" t="s">
        <v>99</v>
      </c>
      <c r="L5" t="s">
        <v>100</v>
      </c>
      <c r="AG5" t="e">
        <f ca="1">multiple_transfer_model!$D$33</f>
        <v>#NAME?</v>
      </c>
      <c r="AH5">
        <v>9</v>
      </c>
      <c r="AI5">
        <v>1</v>
      </c>
      <c r="AJ5" t="b">
        <v>0</v>
      </c>
      <c r="AK5" t="b">
        <v>1</v>
      </c>
      <c r="AL5">
        <v>0</v>
      </c>
      <c r="AM5" t="b">
        <v>0</v>
      </c>
      <c r="AN5" t="e">
        <f>_</f>
        <v>#NAME?</v>
      </c>
    </row>
    <row r="6" spans="1:40" x14ac:dyDescent="0.25">
      <c r="A6" s="25" t="e">
        <f ca="1">'cleaning_and sanitizing'!$C$18</f>
        <v>#NAME?</v>
      </c>
      <c r="B6" t="b">
        <v>1</v>
      </c>
      <c r="C6">
        <v>0</v>
      </c>
      <c r="D6">
        <v>1</v>
      </c>
      <c r="E6" t="s">
        <v>103</v>
      </c>
      <c r="F6">
        <v>1</v>
      </c>
      <c r="G6">
        <v>0</v>
      </c>
      <c r="H6">
        <v>0</v>
      </c>
      <c r="J6" t="s">
        <v>98</v>
      </c>
      <c r="K6" t="s">
        <v>99</v>
      </c>
      <c r="L6" t="s">
        <v>100</v>
      </c>
      <c r="AG6" s="25" t="e">
        <f ca="1">'cleaning_and sanitizing'!$C$18</f>
        <v>#NAME?</v>
      </c>
      <c r="AH6">
        <v>219</v>
      </c>
      <c r="AI6">
        <v>1</v>
      </c>
      <c r="AJ6" t="b">
        <v>0</v>
      </c>
      <c r="AK6" t="b">
        <v>1</v>
      </c>
      <c r="AL6">
        <v>0</v>
      </c>
      <c r="AM6" t="b">
        <v>0</v>
      </c>
      <c r="AN6" t="e">
        <f>_</f>
        <v>#NAME?</v>
      </c>
    </row>
    <row r="7" spans="1:40" x14ac:dyDescent="0.25">
      <c r="A7">
        <v>0</v>
      </c>
    </row>
    <row r="8" spans="1:40" x14ac:dyDescent="0.25">
      <c r="A8" t="b">
        <v>0</v>
      </c>
      <c r="B8">
        <v>15680</v>
      </c>
      <c r="C8">
        <v>7345</v>
      </c>
      <c r="D8">
        <v>32320</v>
      </c>
      <c r="E8">
        <v>100</v>
      </c>
    </row>
    <row r="9" spans="1:40" x14ac:dyDescent="0.25">
      <c r="A9" t="b">
        <v>0</v>
      </c>
      <c r="B9">
        <v>15680</v>
      </c>
      <c r="C9">
        <v>7345</v>
      </c>
      <c r="D9">
        <v>32320</v>
      </c>
      <c r="E9">
        <v>500</v>
      </c>
    </row>
    <row r="10" spans="1:40" x14ac:dyDescent="0.25">
      <c r="A10" t="b">
        <v>0</v>
      </c>
      <c r="B10">
        <v>15680</v>
      </c>
      <c r="C10">
        <v>7345</v>
      </c>
      <c r="D10">
        <v>32320</v>
      </c>
      <c r="E10">
        <v>1000</v>
      </c>
    </row>
    <row r="11" spans="1:40" x14ac:dyDescent="0.25">
      <c r="A11" t="b">
        <v>0</v>
      </c>
      <c r="B11">
        <v>15680</v>
      </c>
      <c r="C11">
        <v>7345</v>
      </c>
      <c r="D11">
        <v>32320</v>
      </c>
      <c r="E11">
        <v>1500</v>
      </c>
    </row>
    <row r="12" spans="1:40" x14ac:dyDescent="0.25">
      <c r="A12" t="b">
        <v>0</v>
      </c>
      <c r="B12">
        <v>15680</v>
      </c>
      <c r="C12">
        <v>7345</v>
      </c>
      <c r="D12">
        <v>32320</v>
      </c>
      <c r="E12">
        <v>2000</v>
      </c>
    </row>
    <row r="13" spans="1:40" x14ac:dyDescent="0.25">
      <c r="A13">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F26" sqref="F26"/>
    </sheetView>
  </sheetViews>
  <sheetFormatPr defaultRowHeight="15" x14ac:dyDescent="0.25"/>
  <cols>
    <col min="1" max="1" width="71.85546875" customWidth="1"/>
    <col min="7" max="7" width="12.5703125" customWidth="1"/>
  </cols>
  <sheetData>
    <row r="1" spans="1:12" ht="15.75" x14ac:dyDescent="0.25">
      <c r="A1" s="34" t="s">
        <v>118</v>
      </c>
    </row>
    <row r="2" spans="1:12" s="29" customFormat="1" ht="31.5" customHeight="1" x14ac:dyDescent="0.25">
      <c r="A2" s="39" t="s">
        <v>104</v>
      </c>
      <c r="B2" s="39"/>
      <c r="C2" s="39"/>
      <c r="D2" s="39"/>
      <c r="E2" s="39"/>
      <c r="F2" s="39"/>
      <c r="G2" s="39"/>
      <c r="H2" s="39"/>
      <c r="I2" s="39"/>
      <c r="J2" s="39"/>
      <c r="K2" s="39"/>
      <c r="L2" s="39"/>
    </row>
    <row r="3" spans="1:12" s="29" customFormat="1" ht="15.75" x14ac:dyDescent="0.25">
      <c r="A3" s="30"/>
      <c r="B3" s="30"/>
      <c r="C3" s="30"/>
      <c r="D3" s="30"/>
      <c r="E3" s="30"/>
      <c r="F3" s="30"/>
      <c r="G3" s="30"/>
      <c r="H3" s="30"/>
      <c r="I3" s="30"/>
      <c r="J3" s="30"/>
      <c r="K3" s="30"/>
      <c r="L3" s="30"/>
    </row>
    <row r="4" spans="1:12" x14ac:dyDescent="0.25">
      <c r="A4" t="s">
        <v>40</v>
      </c>
    </row>
    <row r="5" spans="1:12" x14ac:dyDescent="0.25">
      <c r="A5" s="6" t="s">
        <v>39</v>
      </c>
    </row>
    <row r="6" spans="1:12" x14ac:dyDescent="0.25">
      <c r="A6" s="5" t="s">
        <v>43</v>
      </c>
    </row>
    <row r="7" spans="1:12" s="2" customFormat="1" x14ac:dyDescent="0.25">
      <c r="A7" s="17" t="s">
        <v>119</v>
      </c>
    </row>
    <row r="8" spans="1:12" x14ac:dyDescent="0.25">
      <c r="A8" s="4"/>
      <c r="B8" s="4"/>
      <c r="C8" s="4" t="s">
        <v>38</v>
      </c>
      <c r="D8" s="4"/>
      <c r="E8" s="4"/>
      <c r="F8" s="4"/>
      <c r="G8" s="4"/>
    </row>
    <row r="9" spans="1:12" x14ac:dyDescent="0.25">
      <c r="A9" s="1" t="s">
        <v>0</v>
      </c>
      <c r="B9" s="1" t="s">
        <v>2</v>
      </c>
      <c r="C9" s="37">
        <v>1000</v>
      </c>
      <c r="E9" s="3"/>
    </row>
    <row r="10" spans="1:12" x14ac:dyDescent="0.25">
      <c r="C10" s="4" t="s">
        <v>37</v>
      </c>
      <c r="D10" s="4" t="s">
        <v>110</v>
      </c>
      <c r="E10" s="2"/>
    </row>
    <row r="11" spans="1:12" x14ac:dyDescent="0.25">
      <c r="A11" s="16" t="s">
        <v>124</v>
      </c>
      <c r="B11" s="16" t="s">
        <v>48</v>
      </c>
      <c r="C11" s="36">
        <v>2</v>
      </c>
      <c r="D11" s="36">
        <v>1</v>
      </c>
      <c r="E11" s="17" t="e">
        <f ca="1">_xll.RiskNormal(C11,D11)</f>
        <v>#NAME?</v>
      </c>
      <c r="F11" s="18" t="e">
        <f ca="1">MIN(10^-E11,1)</f>
        <v>#NAME?</v>
      </c>
    </row>
    <row r="12" spans="1:12" x14ac:dyDescent="0.25">
      <c r="C12" s="2"/>
      <c r="D12" s="2" t="s">
        <v>123</v>
      </c>
      <c r="E12" s="2"/>
    </row>
    <row r="13" spans="1:12" x14ac:dyDescent="0.25">
      <c r="A13" s="17" t="s">
        <v>44</v>
      </c>
      <c r="B13" s="17" t="s">
        <v>45</v>
      </c>
      <c r="C13" s="17" t="e">
        <f ca="1">1-F11</f>
        <v>#NAME?</v>
      </c>
      <c r="D13" t="s">
        <v>125</v>
      </c>
      <c r="E13" s="7"/>
      <c r="F13" s="8"/>
    </row>
    <row r="14" spans="1:12" x14ac:dyDescent="0.25">
      <c r="E14" s="8"/>
      <c r="F14" s="8"/>
    </row>
    <row r="15" spans="1:12" x14ac:dyDescent="0.25">
      <c r="A15" s="8" t="s">
        <v>49</v>
      </c>
      <c r="B15" s="8" t="s">
        <v>50</v>
      </c>
      <c r="C15" s="18" t="e">
        <f ca="1">_xll.RiskBinomial(C9,C13)</f>
        <v>#NAME?</v>
      </c>
      <c r="E15" s="8"/>
      <c r="F15" s="8"/>
    </row>
    <row r="16" spans="1:12" x14ac:dyDescent="0.25">
      <c r="E16" s="8"/>
      <c r="F16" s="8"/>
    </row>
    <row r="17" spans="1:13" x14ac:dyDescent="0.25">
      <c r="F17" s="24" t="s">
        <v>107</v>
      </c>
    </row>
    <row r="18" spans="1:13" x14ac:dyDescent="0.25">
      <c r="A18" s="5" t="s">
        <v>47</v>
      </c>
      <c r="B18" s="5" t="s">
        <v>46</v>
      </c>
      <c r="C18" s="31" t="e">
        <f ca="1">_xll.RiskOutput()+C9-C15</f>
        <v>#NAME?</v>
      </c>
      <c r="D18" s="2"/>
      <c r="E18" s="2"/>
      <c r="F18" s="32" t="e">
        <f ca="1">C9-C18-C15</f>
        <v>#NAME?</v>
      </c>
    </row>
    <row r="21" spans="1:13" ht="15.75" x14ac:dyDescent="0.25">
      <c r="A21" s="34" t="s">
        <v>109</v>
      </c>
    </row>
    <row r="22" spans="1:13" s="35" customFormat="1" ht="134.25" customHeight="1" x14ac:dyDescent="0.25">
      <c r="A22" s="39" t="s">
        <v>133</v>
      </c>
      <c r="B22" s="39"/>
      <c r="C22" s="39"/>
      <c r="D22" s="39"/>
      <c r="E22" s="39"/>
      <c r="F22" s="39"/>
      <c r="G22" s="39"/>
      <c r="H22" s="39"/>
      <c r="I22" s="39"/>
      <c r="J22" s="39"/>
      <c r="K22" s="39"/>
      <c r="L22" s="39"/>
      <c r="M22" s="28"/>
    </row>
  </sheetData>
  <sheetProtection password="CC7C" sheet="1" objects="1" scenarios="1"/>
  <mergeCells count="2">
    <mergeCell ref="A2:L2"/>
    <mergeCell ref="A22:L2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transfer_model</vt:lpstr>
      <vt:lpstr>multiple_transfer_model</vt:lpstr>
      <vt:lpstr>slicer_model</vt:lpstr>
      <vt:lpstr>RiskSerializationData</vt:lpstr>
      <vt:lpstr>cleaning_and sanitizing</vt:lpstr>
      <vt:lpstr>aa</vt:lpstr>
    </vt:vector>
  </TitlesOfParts>
  <Company>FDA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Hoelzer</dc:creator>
  <cp:lastModifiedBy>Karin Hoelzer</cp:lastModifiedBy>
  <dcterms:created xsi:type="dcterms:W3CDTF">2011-08-08T15:17:48Z</dcterms:created>
  <dcterms:modified xsi:type="dcterms:W3CDTF">2012-05-25T15:30:43Z</dcterms:modified>
</cp:coreProperties>
</file>